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comments3.xml" ContentType="application/vnd.openxmlformats-officedocument.spreadsheetml.comment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040" yWindow="-30" windowWidth="11475" windowHeight="9240" tabRatio="586" activeTab="3"/>
  </bookViews>
  <sheets>
    <sheet name="Přečti si" sheetId="18" r:id="rId1"/>
    <sheet name="Rs kalkulace Altesil MW" sheetId="16" r:id="rId2"/>
    <sheet name="Data Rs" sheetId="19" r:id="rId3"/>
    <sheet name="Data Cw" sheetId="20" r:id="rId4"/>
    <sheet name="SR_Kpw" sheetId="17" r:id="rId5"/>
  </sheets>
  <definedNames>
    <definedName name="_xlnm._FilterDatabase" localSheetId="3" hidden="1">'Data Cw'!$A$21</definedName>
    <definedName name="solver_adj" localSheetId="3" hidden="1">'Data Cw'!$D$21:$L$21</definedName>
    <definedName name="solver_adj" localSheetId="2" hidden="1">'Data Rs'!$D$44:$L$44</definedName>
    <definedName name="solver_adj" localSheetId="1" hidden="1">'Rs kalkulace Altesil MW'!$F$23:$W$23</definedName>
    <definedName name="solver_cvg" localSheetId="3" hidden="1">0.0001</definedName>
    <definedName name="solver_cvg" localSheetId="2" hidden="1">0.0001</definedName>
    <definedName name="solver_cvg" localSheetId="1" hidden="1">0.00001</definedName>
    <definedName name="solver_drv" localSheetId="3" hidden="1">1</definedName>
    <definedName name="solver_drv" localSheetId="2" hidden="1">1</definedName>
    <definedName name="solver_drv" localSheetId="1" hidden="1">1</definedName>
    <definedName name="solver_est" localSheetId="3" hidden="1">1</definedName>
    <definedName name="solver_est" localSheetId="2" hidden="1">1</definedName>
    <definedName name="solver_est" localSheetId="1" hidden="1">1</definedName>
    <definedName name="solver_itr" localSheetId="3" hidden="1">1000</definedName>
    <definedName name="solver_itr" localSheetId="2" hidden="1">1000</definedName>
    <definedName name="solver_itr" localSheetId="1" hidden="1">1000</definedName>
    <definedName name="solver_lhs1" localSheetId="3" hidden="1">'Data Cw'!$D$21:$L$21</definedName>
    <definedName name="solver_lhs1" localSheetId="2" hidden="1">'Data Rs'!$D$44:$L$44</definedName>
    <definedName name="solver_lhs1" localSheetId="1" hidden="1">'Rs kalkulace Altesil MW'!$F$23:$W$23</definedName>
    <definedName name="solver_lhs2" localSheetId="3" hidden="1">'Data Cw'!$D$21:$L$21</definedName>
    <definedName name="solver_lhs2" localSheetId="2" hidden="1">'Data Rs'!$D$44:$L$44</definedName>
    <definedName name="solver_lin" localSheetId="3" hidden="1">2</definedName>
    <definedName name="solver_lin" localSheetId="2" hidden="1">2</definedName>
    <definedName name="solver_lin" localSheetId="1" hidden="1">2</definedName>
    <definedName name="solver_neg" localSheetId="3" hidden="1">2</definedName>
    <definedName name="solver_neg" localSheetId="2" hidden="1">2</definedName>
    <definedName name="solver_neg" localSheetId="1" hidden="1">2</definedName>
    <definedName name="solver_num" localSheetId="3" hidden="1">2</definedName>
    <definedName name="solver_num" localSheetId="2" hidden="1">2</definedName>
    <definedName name="solver_num" localSheetId="1" hidden="1">1</definedName>
    <definedName name="solver_nwt" localSheetId="3" hidden="1">1</definedName>
    <definedName name="solver_nwt" localSheetId="2" hidden="1">1</definedName>
    <definedName name="solver_nwt" localSheetId="1" hidden="1">1</definedName>
    <definedName name="solver_opt" localSheetId="3" hidden="1">'Data Cw'!$C$39</definedName>
    <definedName name="solver_opt" localSheetId="2" hidden="1">'Data Rs'!$C$61</definedName>
    <definedName name="solver_opt" localSheetId="1" hidden="1">'Rs kalkulace Altesil MW'!$D$26</definedName>
    <definedName name="solver_pre" localSheetId="3" hidden="1">0.000001</definedName>
    <definedName name="solver_pre" localSheetId="2" hidden="1">0.000001</definedName>
    <definedName name="solver_pre" localSheetId="1" hidden="1">0.0000001</definedName>
    <definedName name="solver_rel1" localSheetId="3" hidden="1">1</definedName>
    <definedName name="solver_rel1" localSheetId="2" hidden="1">1</definedName>
    <definedName name="solver_rel1" localSheetId="1" hidden="1">3</definedName>
    <definedName name="solver_rel2" localSheetId="3" hidden="1">3</definedName>
    <definedName name="solver_rel2" localSheetId="2" hidden="1">3</definedName>
    <definedName name="solver_rhs1" localSheetId="3" hidden="1">100000</definedName>
    <definedName name="solver_rhs1" localSheetId="2" hidden="1">100000</definedName>
    <definedName name="solver_rhs1" localSheetId="1" hidden="1">0</definedName>
    <definedName name="solver_rhs2" localSheetId="3" hidden="1">0</definedName>
    <definedName name="solver_rhs2" localSheetId="2" hidden="1">0</definedName>
    <definedName name="solver_scl" localSheetId="3" hidden="1">1</definedName>
    <definedName name="solver_scl" localSheetId="2" hidden="1">1</definedName>
    <definedName name="solver_scl" localSheetId="1" hidden="1">1</definedName>
    <definedName name="solver_sho" localSheetId="3" hidden="1">2</definedName>
    <definedName name="solver_sho" localSheetId="2" hidden="1">2</definedName>
    <definedName name="solver_sho" localSheetId="1" hidden="1">2</definedName>
    <definedName name="solver_tim" localSheetId="3" hidden="1">1000</definedName>
    <definedName name="solver_tim" localSheetId="2" hidden="1">1000</definedName>
    <definedName name="solver_tim" localSheetId="1" hidden="1">1000</definedName>
    <definedName name="solver_tol" localSheetId="3" hidden="1">0.05</definedName>
    <definedName name="solver_tol" localSheetId="2" hidden="1">0.05</definedName>
    <definedName name="solver_tol" localSheetId="1" hidden="1">0.05</definedName>
    <definedName name="solver_typ" localSheetId="3" hidden="1">2</definedName>
    <definedName name="solver_typ" localSheetId="2" hidden="1">2</definedName>
    <definedName name="solver_typ" localSheetId="1" hidden="1">2</definedName>
    <definedName name="solver_val" localSheetId="3" hidden="1">0</definedName>
    <definedName name="solver_val" localSheetId="2" hidden="1">0</definedName>
    <definedName name="solver_val" localSheetId="1" hidden="1">0</definedName>
  </definedNames>
  <calcPr calcId="145621"/>
</workbook>
</file>

<file path=xl/calcChain.xml><?xml version="1.0" encoding="utf-8"?>
<calcChain xmlns="http://schemas.openxmlformats.org/spreadsheetml/2006/main">
  <c r="F71" i="20" l="1"/>
  <c r="B8" i="20"/>
  <c r="B9" i="20"/>
  <c r="B10" i="20"/>
  <c r="B11" i="20"/>
  <c r="B12" i="20"/>
  <c r="B13" i="20"/>
  <c r="B14" i="20"/>
  <c r="B15" i="20"/>
  <c r="B16" i="20"/>
  <c r="B17" i="20"/>
  <c r="B18" i="20"/>
  <c r="B19" i="20"/>
  <c r="B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7" i="20"/>
  <c r="P24" i="19" l="1"/>
  <c r="M21" i="19"/>
  <c r="L21" i="19"/>
  <c r="F41" i="19"/>
  <c r="G41" i="19"/>
  <c r="H41" i="19"/>
  <c r="I41" i="19"/>
  <c r="J41" i="19"/>
  <c r="K41" i="19"/>
  <c r="F42" i="19"/>
  <c r="G42" i="19"/>
  <c r="H42" i="19"/>
  <c r="I42" i="19"/>
  <c r="J42" i="19"/>
  <c r="K42" i="19"/>
  <c r="E42" i="19"/>
  <c r="E41" i="19"/>
  <c r="G22" i="19"/>
  <c r="H22" i="19"/>
  <c r="I22" i="19"/>
  <c r="J22" i="19"/>
  <c r="K22" i="19"/>
  <c r="G23" i="19"/>
  <c r="H23" i="19"/>
  <c r="I23" i="19"/>
  <c r="J23" i="19"/>
  <c r="K23" i="19"/>
  <c r="F23" i="19"/>
  <c r="F22" i="19"/>
  <c r="E23" i="19"/>
  <c r="E22" i="19"/>
  <c r="D23" i="19"/>
  <c r="D22" i="19"/>
  <c r="D25" i="19"/>
  <c r="K44" i="19"/>
  <c r="R26" i="19" s="1"/>
  <c r="Q26" i="19" s="1"/>
  <c r="E44" i="19"/>
  <c r="F44" i="19"/>
  <c r="G44" i="19"/>
  <c r="H44" i="19"/>
  <c r="I44" i="19"/>
  <c r="J44" i="19"/>
  <c r="D44" i="19"/>
  <c r="E21" i="20"/>
  <c r="E32" i="20" s="1"/>
  <c r="F21" i="20"/>
  <c r="G21" i="20"/>
  <c r="H21" i="20"/>
  <c r="H32" i="20" s="1"/>
  <c r="I21" i="20"/>
  <c r="J21" i="20"/>
  <c r="J36" i="20" s="1"/>
  <c r="K21" i="20"/>
  <c r="D21" i="20"/>
  <c r="D33" i="20" s="1"/>
  <c r="C63" i="19"/>
  <c r="C64" i="19"/>
  <c r="C65" i="19"/>
  <c r="C66" i="19"/>
  <c r="C67" i="19"/>
  <c r="C68" i="19"/>
  <c r="C69" i="19"/>
  <c r="C70" i="19"/>
  <c r="C71" i="19"/>
  <c r="C72" i="19"/>
  <c r="C73" i="19"/>
  <c r="C74" i="19"/>
  <c r="C75" i="19"/>
  <c r="C62" i="19"/>
  <c r="C50" i="19"/>
  <c r="C53" i="19"/>
  <c r="C54" i="19"/>
  <c r="C58" i="19"/>
  <c r="C26" i="19"/>
  <c r="C47" i="19" s="1"/>
  <c r="C27" i="19"/>
  <c r="C48" i="19" s="1"/>
  <c r="C28" i="19"/>
  <c r="C49" i="19" s="1"/>
  <c r="C29" i="19"/>
  <c r="C30" i="19"/>
  <c r="C51" i="19" s="1"/>
  <c r="C31" i="19"/>
  <c r="C52" i="19" s="1"/>
  <c r="C32" i="19"/>
  <c r="C33" i="19"/>
  <c r="C34" i="19"/>
  <c r="C55" i="19" s="1"/>
  <c r="C35" i="19"/>
  <c r="C56" i="19" s="1"/>
  <c r="C36" i="19"/>
  <c r="C57" i="19" s="1"/>
  <c r="C37" i="19"/>
  <c r="C38" i="19"/>
  <c r="C59" i="19" s="1"/>
  <c r="C25" i="19"/>
  <c r="C46" i="19"/>
  <c r="A7" i="19"/>
  <c r="A26" i="19" s="1"/>
  <c r="A8" i="19"/>
  <c r="A48" i="19" s="1"/>
  <c r="A9" i="19"/>
  <c r="A10" i="19"/>
  <c r="A29" i="19" s="1"/>
  <c r="A11" i="19"/>
  <c r="A30" i="19" s="1"/>
  <c r="A12" i="19"/>
  <c r="A52" i="19" s="1"/>
  <c r="A13" i="19"/>
  <c r="A14" i="19"/>
  <c r="A33" i="19" s="1"/>
  <c r="A15" i="19"/>
  <c r="A34" i="19" s="1"/>
  <c r="A16" i="19"/>
  <c r="A56" i="19" s="1"/>
  <c r="A17" i="19"/>
  <c r="A36" i="19" s="1"/>
  <c r="A18" i="19"/>
  <c r="A37" i="19" s="1"/>
  <c r="A19" i="19"/>
  <c r="A38" i="19" s="1"/>
  <c r="A6" i="19"/>
  <c r="A46" i="19" s="1"/>
  <c r="B7" i="19"/>
  <c r="B26" i="19" s="1"/>
  <c r="B8" i="19"/>
  <c r="B27" i="19" s="1"/>
  <c r="B9" i="19"/>
  <c r="B49" i="19" s="1"/>
  <c r="B10" i="19"/>
  <c r="B11" i="19"/>
  <c r="B30" i="19" s="1"/>
  <c r="B12" i="19"/>
  <c r="B31" i="19" s="1"/>
  <c r="B13" i="19"/>
  <c r="B53" i="19" s="1"/>
  <c r="B14" i="19"/>
  <c r="B15" i="19"/>
  <c r="B34" i="19" s="1"/>
  <c r="B16" i="19"/>
  <c r="B35" i="19" s="1"/>
  <c r="B17" i="19"/>
  <c r="B57" i="19" s="1"/>
  <c r="B18" i="19"/>
  <c r="B19" i="19"/>
  <c r="B38" i="19" s="1"/>
  <c r="B6" i="19"/>
  <c r="G26" i="20"/>
  <c r="K30" i="20"/>
  <c r="G35" i="20"/>
  <c r="G24" i="20"/>
  <c r="K71" i="20"/>
  <c r="J71" i="20"/>
  <c r="I71" i="20"/>
  <c r="H71" i="20"/>
  <c r="G71" i="20"/>
  <c r="E71" i="20"/>
  <c r="D71" i="20"/>
  <c r="C71" i="20"/>
  <c r="C68" i="20"/>
  <c r="C67" i="20"/>
  <c r="C66" i="20"/>
  <c r="C65" i="20"/>
  <c r="C64" i="20"/>
  <c r="C63" i="20"/>
  <c r="C62" i="20"/>
  <c r="C61" i="20"/>
  <c r="C60" i="20"/>
  <c r="C59" i="20"/>
  <c r="C58" i="20"/>
  <c r="C57" i="20"/>
  <c r="C56" i="20"/>
  <c r="C55" i="20"/>
  <c r="C52" i="20"/>
  <c r="C84" i="20" s="1"/>
  <c r="C51" i="20"/>
  <c r="C83" i="20" s="1"/>
  <c r="C50" i="20"/>
  <c r="C82" i="20" s="1"/>
  <c r="C49" i="20"/>
  <c r="C81" i="20" s="1"/>
  <c r="C48" i="20"/>
  <c r="C80" i="20" s="1"/>
  <c r="C47" i="20"/>
  <c r="C79" i="20" s="1"/>
  <c r="C46" i="20"/>
  <c r="C78" i="20" s="1"/>
  <c r="C45" i="20"/>
  <c r="C77" i="20" s="1"/>
  <c r="C44" i="20"/>
  <c r="C76" i="20" s="1"/>
  <c r="C43" i="20"/>
  <c r="C75" i="20" s="1"/>
  <c r="C42" i="20"/>
  <c r="C74" i="20" s="1"/>
  <c r="C41" i="20"/>
  <c r="C73" i="20" s="1"/>
  <c r="C40" i="20"/>
  <c r="C72" i="20" s="1"/>
  <c r="K39" i="20"/>
  <c r="K55" i="20"/>
  <c r="J39" i="20"/>
  <c r="J55" i="20" s="1"/>
  <c r="I39" i="20"/>
  <c r="I55" i="20" s="1"/>
  <c r="H39" i="20"/>
  <c r="H55" i="20"/>
  <c r="G39" i="20"/>
  <c r="G55" i="20" s="1"/>
  <c r="F39" i="20"/>
  <c r="F55" i="20" s="1"/>
  <c r="E39" i="20"/>
  <c r="E55" i="20" s="1"/>
  <c r="D39" i="20"/>
  <c r="D55" i="20" s="1"/>
  <c r="C39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F36" i="20"/>
  <c r="A81" i="19"/>
  <c r="A82" i="19" s="1"/>
  <c r="M38" i="19"/>
  <c r="L38" i="19"/>
  <c r="E38" i="19"/>
  <c r="D38" i="19"/>
  <c r="O38" i="19"/>
  <c r="M37" i="19"/>
  <c r="L37" i="19"/>
  <c r="E37" i="19"/>
  <c r="D37" i="19"/>
  <c r="M36" i="19"/>
  <c r="L36" i="19"/>
  <c r="E36" i="19"/>
  <c r="D36" i="19"/>
  <c r="M35" i="19"/>
  <c r="L35" i="19"/>
  <c r="E35" i="19"/>
  <c r="D35" i="19"/>
  <c r="M34" i="19"/>
  <c r="L34" i="19"/>
  <c r="E34" i="19"/>
  <c r="D34" i="19"/>
  <c r="M33" i="19"/>
  <c r="L33" i="19"/>
  <c r="E33" i="19"/>
  <c r="D33" i="19"/>
  <c r="M32" i="19"/>
  <c r="L32" i="19"/>
  <c r="E32" i="19"/>
  <c r="D32" i="19"/>
  <c r="M31" i="19"/>
  <c r="L31" i="19"/>
  <c r="E31" i="19"/>
  <c r="D31" i="19"/>
  <c r="M30" i="19"/>
  <c r="L30" i="19"/>
  <c r="E30" i="19"/>
  <c r="D30" i="19"/>
  <c r="M29" i="19"/>
  <c r="L29" i="19"/>
  <c r="E29" i="19"/>
  <c r="D29" i="19"/>
  <c r="M28" i="19"/>
  <c r="L28" i="19"/>
  <c r="E28" i="19"/>
  <c r="D28" i="19"/>
  <c r="M27" i="19"/>
  <c r="L27" i="19"/>
  <c r="E27" i="19"/>
  <c r="D27" i="19"/>
  <c r="M26" i="19"/>
  <c r="L26" i="19"/>
  <c r="E26" i="19"/>
  <c r="D26" i="19"/>
  <c r="M25" i="19"/>
  <c r="L25" i="19"/>
  <c r="E25" i="19"/>
  <c r="C39" i="16"/>
  <c r="W148" i="16"/>
  <c r="W168" i="16" s="1"/>
  <c r="W149" i="16"/>
  <c r="W150" i="16"/>
  <c r="W151" i="16"/>
  <c r="W152" i="16"/>
  <c r="W153" i="16"/>
  <c r="W154" i="16"/>
  <c r="W155" i="16"/>
  <c r="W156" i="16"/>
  <c r="W157" i="16"/>
  <c r="W158" i="16"/>
  <c r="W159" i="16"/>
  <c r="W160" i="16"/>
  <c r="W161" i="16"/>
  <c r="W162" i="16"/>
  <c r="W163" i="16"/>
  <c r="W164" i="16"/>
  <c r="W165" i="16"/>
  <c r="W166" i="16"/>
  <c r="W167" i="16"/>
  <c r="V148" i="16"/>
  <c r="V149" i="16"/>
  <c r="V168" i="16" s="1"/>
  <c r="W28" i="16" s="1"/>
  <c r="V150" i="16"/>
  <c r="V151" i="16"/>
  <c r="V152" i="16"/>
  <c r="V153" i="16"/>
  <c r="V154" i="16"/>
  <c r="V155" i="16"/>
  <c r="V156" i="16"/>
  <c r="V157" i="16"/>
  <c r="V158" i="16"/>
  <c r="V159" i="16"/>
  <c r="V160" i="16"/>
  <c r="V161" i="16"/>
  <c r="V162" i="16"/>
  <c r="V163" i="16"/>
  <c r="V164" i="16"/>
  <c r="V165" i="16"/>
  <c r="V166" i="16"/>
  <c r="V167" i="16"/>
  <c r="U148" i="16"/>
  <c r="U149" i="16"/>
  <c r="U150" i="16"/>
  <c r="U151" i="16"/>
  <c r="U152" i="16"/>
  <c r="U153" i="16"/>
  <c r="U154" i="16"/>
  <c r="U155" i="16"/>
  <c r="U156" i="16"/>
  <c r="U157" i="16"/>
  <c r="U158" i="16"/>
  <c r="U159" i="16"/>
  <c r="U160" i="16"/>
  <c r="U161" i="16"/>
  <c r="U162" i="16"/>
  <c r="U163" i="16"/>
  <c r="U164" i="16"/>
  <c r="U165" i="16"/>
  <c r="U166" i="16"/>
  <c r="U167" i="16"/>
  <c r="T148" i="16"/>
  <c r="T149" i="16"/>
  <c r="T168" i="16" s="1"/>
  <c r="U28" i="16" s="1"/>
  <c r="T150" i="16"/>
  <c r="T151" i="16"/>
  <c r="T152" i="16"/>
  <c r="T153" i="16"/>
  <c r="T154" i="16"/>
  <c r="T155" i="16"/>
  <c r="T156" i="16"/>
  <c r="T157" i="16"/>
  <c r="T158" i="16"/>
  <c r="T159" i="16"/>
  <c r="T160" i="16"/>
  <c r="T161" i="16"/>
  <c r="T162" i="16"/>
  <c r="T163" i="16"/>
  <c r="T164" i="16"/>
  <c r="T165" i="16"/>
  <c r="T166" i="16"/>
  <c r="T167" i="16"/>
  <c r="S148" i="16"/>
  <c r="S149" i="16"/>
  <c r="S150" i="16"/>
  <c r="S151" i="16"/>
  <c r="S152" i="16"/>
  <c r="S168" i="16" s="1"/>
  <c r="T28" i="16" s="1"/>
  <c r="S153" i="16"/>
  <c r="S154" i="16"/>
  <c r="S155" i="16"/>
  <c r="S156" i="16"/>
  <c r="S157" i="16"/>
  <c r="S158" i="16"/>
  <c r="S159" i="16"/>
  <c r="S160" i="16"/>
  <c r="S161" i="16"/>
  <c r="S162" i="16"/>
  <c r="S163" i="16"/>
  <c r="S164" i="16"/>
  <c r="S165" i="16"/>
  <c r="S166" i="16"/>
  <c r="S167" i="16"/>
  <c r="R148" i="16"/>
  <c r="R149" i="16"/>
  <c r="R168" i="16" s="1"/>
  <c r="S28" i="16" s="1"/>
  <c r="R150" i="16"/>
  <c r="R151" i="16"/>
  <c r="R152" i="16"/>
  <c r="R153" i="16"/>
  <c r="R154" i="16"/>
  <c r="R155" i="16"/>
  <c r="R156" i="16"/>
  <c r="R157" i="16"/>
  <c r="R158" i="16"/>
  <c r="R159" i="16"/>
  <c r="R160" i="16"/>
  <c r="R161" i="16"/>
  <c r="R162" i="16"/>
  <c r="R163" i="16"/>
  <c r="R164" i="16"/>
  <c r="R165" i="16"/>
  <c r="R166" i="16"/>
  <c r="R167" i="16"/>
  <c r="Q148" i="16"/>
  <c r="Q149" i="16"/>
  <c r="Q150" i="16"/>
  <c r="Q151" i="16"/>
  <c r="Q152" i="16"/>
  <c r="Q153" i="16"/>
  <c r="Q154" i="16"/>
  <c r="Q155" i="16"/>
  <c r="Q156" i="16"/>
  <c r="Q157" i="16"/>
  <c r="Q158" i="16"/>
  <c r="Q159" i="16"/>
  <c r="Q160" i="16"/>
  <c r="Q161" i="16"/>
  <c r="Q162" i="16"/>
  <c r="Q163" i="16"/>
  <c r="Q164" i="16"/>
  <c r="Q165" i="16"/>
  <c r="Q166" i="16"/>
  <c r="Q167" i="16"/>
  <c r="P148" i="16"/>
  <c r="P149" i="16"/>
  <c r="P150" i="16"/>
  <c r="P151" i="16"/>
  <c r="P168" i="16"/>
  <c r="Q28" i="16" s="1"/>
  <c r="P152" i="16"/>
  <c r="P153" i="16"/>
  <c r="P154" i="16"/>
  <c r="P155" i="16"/>
  <c r="P156" i="16"/>
  <c r="P157" i="16"/>
  <c r="P158" i="16"/>
  <c r="P159" i="16"/>
  <c r="P160" i="16"/>
  <c r="P161" i="16"/>
  <c r="P162" i="16"/>
  <c r="P163" i="16"/>
  <c r="P164" i="16"/>
  <c r="P165" i="16"/>
  <c r="P166" i="16"/>
  <c r="P167" i="16"/>
  <c r="O148" i="16"/>
  <c r="O149" i="16"/>
  <c r="O168" i="16"/>
  <c r="P28" i="16" s="1"/>
  <c r="O150" i="16"/>
  <c r="O151" i="16"/>
  <c r="O152" i="16"/>
  <c r="O153" i="16"/>
  <c r="O154" i="16"/>
  <c r="O155" i="16"/>
  <c r="O156" i="16"/>
  <c r="O157" i="16"/>
  <c r="O158" i="16"/>
  <c r="O159" i="16"/>
  <c r="O160" i="16"/>
  <c r="O161" i="16"/>
  <c r="O162" i="16"/>
  <c r="O163" i="16"/>
  <c r="O164" i="16"/>
  <c r="O165" i="16"/>
  <c r="O166" i="16"/>
  <c r="O167" i="16"/>
  <c r="N148" i="16"/>
  <c r="N149" i="16"/>
  <c r="N150" i="16"/>
  <c r="N151" i="16"/>
  <c r="N152" i="16"/>
  <c r="N153" i="16"/>
  <c r="N154" i="16"/>
  <c r="N155" i="16"/>
  <c r="N156" i="16"/>
  <c r="N157" i="16"/>
  <c r="N158" i="16"/>
  <c r="N159" i="16"/>
  <c r="N160" i="16"/>
  <c r="N161" i="16"/>
  <c r="N162" i="16"/>
  <c r="N163" i="16"/>
  <c r="N164" i="16"/>
  <c r="N165" i="16"/>
  <c r="N166" i="16"/>
  <c r="N167" i="16"/>
  <c r="N168" i="16"/>
  <c r="O28" i="16" s="1"/>
  <c r="O29" i="16" s="1"/>
  <c r="M148" i="16"/>
  <c r="M149" i="16"/>
  <c r="M150" i="16"/>
  <c r="M151" i="16"/>
  <c r="M152" i="16"/>
  <c r="M153" i="16"/>
  <c r="M154" i="16"/>
  <c r="M155" i="16"/>
  <c r="M156" i="16"/>
  <c r="M157" i="16"/>
  <c r="M158" i="16"/>
  <c r="M159" i="16"/>
  <c r="M160" i="16"/>
  <c r="M161" i="16"/>
  <c r="M162" i="16"/>
  <c r="M163" i="16"/>
  <c r="M164" i="16"/>
  <c r="M165" i="16"/>
  <c r="M166" i="16"/>
  <c r="M167" i="16"/>
  <c r="L148" i="16"/>
  <c r="L149" i="16"/>
  <c r="L150" i="16"/>
  <c r="L151" i="16"/>
  <c r="L168" i="16"/>
  <c r="M28" i="16" s="1"/>
  <c r="M29" i="16" s="1"/>
  <c r="L152" i="16"/>
  <c r="L153" i="16"/>
  <c r="L154" i="16"/>
  <c r="L155" i="16"/>
  <c r="L156" i="16"/>
  <c r="L157" i="16"/>
  <c r="L158" i="16"/>
  <c r="L159" i="16"/>
  <c r="L160" i="16"/>
  <c r="L161" i="16"/>
  <c r="L162" i="16"/>
  <c r="L163" i="16"/>
  <c r="L164" i="16"/>
  <c r="L165" i="16"/>
  <c r="L166" i="16"/>
  <c r="L167" i="16"/>
  <c r="K148" i="16"/>
  <c r="K149" i="16"/>
  <c r="K168" i="16"/>
  <c r="L28" i="16" s="1"/>
  <c r="L29" i="16" s="1"/>
  <c r="K150" i="16"/>
  <c r="K151" i="16"/>
  <c r="K152" i="16"/>
  <c r="K153" i="16"/>
  <c r="K154" i="16"/>
  <c r="K155" i="16"/>
  <c r="K156" i="16"/>
  <c r="K157" i="16"/>
  <c r="K158" i="16"/>
  <c r="K159" i="16"/>
  <c r="K160" i="16"/>
  <c r="K161" i="16"/>
  <c r="K162" i="16"/>
  <c r="K163" i="16"/>
  <c r="K164" i="16"/>
  <c r="K165" i="16"/>
  <c r="K166" i="16"/>
  <c r="K16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K28" i="16" s="1"/>
  <c r="K29" i="16" s="1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H148" i="16"/>
  <c r="H149" i="16"/>
  <c r="H150" i="16"/>
  <c r="H151" i="16"/>
  <c r="H168" i="16"/>
  <c r="I28" i="16" s="1"/>
  <c r="H152" i="16"/>
  <c r="H153" i="16"/>
  <c r="H154" i="16"/>
  <c r="H155" i="16"/>
  <c r="H156" i="16"/>
  <c r="H157" i="16"/>
  <c r="H158" i="16"/>
  <c r="H159" i="16"/>
  <c r="H160" i="16"/>
  <c r="H161" i="16"/>
  <c r="H162" i="16"/>
  <c r="H163" i="16"/>
  <c r="H164" i="16"/>
  <c r="H165" i="16"/>
  <c r="H166" i="16"/>
  <c r="H167" i="16"/>
  <c r="G148" i="16"/>
  <c r="G149" i="16"/>
  <c r="G168" i="16"/>
  <c r="H28" i="16" s="1"/>
  <c r="H29" i="16" s="1"/>
  <c r="G150" i="16"/>
  <c r="G151" i="16"/>
  <c r="G152" i="16"/>
  <c r="G153" i="16"/>
  <c r="G154" i="16"/>
  <c r="G155" i="16"/>
  <c r="G156" i="16"/>
  <c r="G157" i="16"/>
  <c r="G158" i="16"/>
  <c r="G159" i="16"/>
  <c r="G160" i="16"/>
  <c r="G161" i="16"/>
  <c r="G162" i="16"/>
  <c r="G163" i="16"/>
  <c r="G164" i="16"/>
  <c r="G165" i="16"/>
  <c r="G166" i="16"/>
  <c r="G167" i="16"/>
  <c r="F148" i="16"/>
  <c r="F149" i="16"/>
  <c r="F150" i="16"/>
  <c r="F151" i="16"/>
  <c r="F152" i="16"/>
  <c r="F153" i="16"/>
  <c r="F154" i="16"/>
  <c r="F155" i="16"/>
  <c r="F156" i="16"/>
  <c r="F157" i="16"/>
  <c r="F158" i="16"/>
  <c r="F159" i="16"/>
  <c r="F160" i="16"/>
  <c r="F161" i="16"/>
  <c r="F162" i="16"/>
  <c r="F163" i="16"/>
  <c r="F164" i="16"/>
  <c r="F165" i="16"/>
  <c r="F166" i="16"/>
  <c r="F16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F99" i="16"/>
  <c r="G99" i="16"/>
  <c r="H99" i="16"/>
  <c r="I99" i="16"/>
  <c r="J99" i="16"/>
  <c r="K99" i="16"/>
  <c r="L99" i="16"/>
  <c r="M99" i="16"/>
  <c r="N99" i="16"/>
  <c r="O99" i="16"/>
  <c r="P99" i="16"/>
  <c r="Q99" i="16"/>
  <c r="R99" i="16"/>
  <c r="S99" i="16"/>
  <c r="T99" i="16"/>
  <c r="U99" i="16"/>
  <c r="V99" i="16"/>
  <c r="W99" i="16"/>
  <c r="F100" i="16"/>
  <c r="G100" i="16"/>
  <c r="H100" i="16"/>
  <c r="I100" i="16"/>
  <c r="J100" i="16"/>
  <c r="K100" i="16"/>
  <c r="L100" i="16"/>
  <c r="M100" i="16"/>
  <c r="N100" i="16"/>
  <c r="O100" i="16"/>
  <c r="P100" i="16"/>
  <c r="Q100" i="16"/>
  <c r="R100" i="16"/>
  <c r="S100" i="16"/>
  <c r="T100" i="16"/>
  <c r="U100" i="16"/>
  <c r="V100" i="16"/>
  <c r="W100" i="16"/>
  <c r="K78" i="16"/>
  <c r="F101" i="16"/>
  <c r="G101" i="16"/>
  <c r="H101" i="16"/>
  <c r="I101" i="16"/>
  <c r="J101" i="16"/>
  <c r="K101" i="16"/>
  <c r="L101" i="16"/>
  <c r="M101" i="16"/>
  <c r="N101" i="16"/>
  <c r="O101" i="16"/>
  <c r="P101" i="16"/>
  <c r="Q101" i="16"/>
  <c r="R101" i="16"/>
  <c r="S101" i="16"/>
  <c r="T101" i="16"/>
  <c r="U101" i="16"/>
  <c r="V101" i="16"/>
  <c r="W101" i="16"/>
  <c r="K79" i="16"/>
  <c r="F102" i="16"/>
  <c r="G102" i="16"/>
  <c r="H102" i="16"/>
  <c r="I102" i="16"/>
  <c r="J102" i="16"/>
  <c r="K102" i="16"/>
  <c r="L102" i="16"/>
  <c r="M102" i="16"/>
  <c r="N102" i="16"/>
  <c r="O102" i="16"/>
  <c r="P102" i="16"/>
  <c r="Q102" i="16"/>
  <c r="R102" i="16"/>
  <c r="S102" i="16"/>
  <c r="T102" i="16"/>
  <c r="U102" i="16"/>
  <c r="V102" i="16"/>
  <c r="W102" i="16"/>
  <c r="K80" i="16"/>
  <c r="F103" i="16"/>
  <c r="G103" i="16"/>
  <c r="H103" i="16"/>
  <c r="I103" i="16"/>
  <c r="J103" i="16"/>
  <c r="K103" i="16"/>
  <c r="L103" i="16"/>
  <c r="M103" i="16"/>
  <c r="N103" i="16"/>
  <c r="O103" i="16"/>
  <c r="P103" i="16"/>
  <c r="Q103" i="16"/>
  <c r="R103" i="16"/>
  <c r="S103" i="16"/>
  <c r="T103" i="16"/>
  <c r="U103" i="16"/>
  <c r="V103" i="16"/>
  <c r="W103" i="16"/>
  <c r="K81" i="16"/>
  <c r="F104" i="16"/>
  <c r="G104" i="16"/>
  <c r="H104" i="16"/>
  <c r="I104" i="16"/>
  <c r="J104" i="16"/>
  <c r="K104" i="16"/>
  <c r="L104" i="16"/>
  <c r="M104" i="16"/>
  <c r="N104" i="16"/>
  <c r="O104" i="16"/>
  <c r="P104" i="16"/>
  <c r="Q104" i="16"/>
  <c r="R104" i="16"/>
  <c r="S104" i="16"/>
  <c r="T104" i="16"/>
  <c r="U104" i="16"/>
  <c r="V104" i="16"/>
  <c r="W104" i="16"/>
  <c r="K82" i="16"/>
  <c r="F105" i="16"/>
  <c r="G105" i="16"/>
  <c r="H105" i="16"/>
  <c r="I105" i="16"/>
  <c r="J105" i="16"/>
  <c r="K105" i="16"/>
  <c r="L105" i="16"/>
  <c r="M105" i="16"/>
  <c r="N105" i="16"/>
  <c r="O105" i="16"/>
  <c r="P105" i="16"/>
  <c r="Q105" i="16"/>
  <c r="R105" i="16"/>
  <c r="S105" i="16"/>
  <c r="T105" i="16"/>
  <c r="U105" i="16"/>
  <c r="V105" i="16"/>
  <c r="W105" i="16"/>
  <c r="K83" i="16"/>
  <c r="F106" i="16"/>
  <c r="G106" i="16"/>
  <c r="H106" i="16"/>
  <c r="I106" i="16"/>
  <c r="J106" i="16"/>
  <c r="K106" i="16"/>
  <c r="L106" i="16"/>
  <c r="M106" i="16"/>
  <c r="N106" i="16"/>
  <c r="O106" i="16"/>
  <c r="P106" i="16"/>
  <c r="Q106" i="16"/>
  <c r="R106" i="16"/>
  <c r="S106" i="16"/>
  <c r="T106" i="16"/>
  <c r="U106" i="16"/>
  <c r="V106" i="16"/>
  <c r="W106" i="16"/>
  <c r="E76" i="16"/>
  <c r="F76" i="16"/>
  <c r="G76" i="16"/>
  <c r="H76" i="16"/>
  <c r="I76" i="16"/>
  <c r="J76" i="16"/>
  <c r="K76" i="16"/>
  <c r="L76" i="16"/>
  <c r="M76" i="16"/>
  <c r="N76" i="16"/>
  <c r="O76" i="16"/>
  <c r="P76" i="16"/>
  <c r="Q76" i="16"/>
  <c r="R76" i="16"/>
  <c r="S76" i="16"/>
  <c r="T76" i="16"/>
  <c r="U76" i="16"/>
  <c r="V76" i="16"/>
  <c r="W76" i="16"/>
  <c r="E77" i="16"/>
  <c r="F77" i="16"/>
  <c r="G77" i="16"/>
  <c r="H77" i="16"/>
  <c r="I77" i="16"/>
  <c r="J77" i="16"/>
  <c r="K77" i="16"/>
  <c r="L77" i="16"/>
  <c r="M77" i="16"/>
  <c r="N77" i="16"/>
  <c r="O77" i="16"/>
  <c r="P77" i="16"/>
  <c r="Q77" i="16"/>
  <c r="R77" i="16"/>
  <c r="S77" i="16"/>
  <c r="T77" i="16"/>
  <c r="U77" i="16"/>
  <c r="V77" i="16"/>
  <c r="W77" i="16"/>
  <c r="E78" i="16"/>
  <c r="F78" i="16"/>
  <c r="G78" i="16"/>
  <c r="H78" i="16"/>
  <c r="I78" i="16"/>
  <c r="J78" i="16"/>
  <c r="L78" i="16"/>
  <c r="M78" i="16"/>
  <c r="N78" i="16"/>
  <c r="O78" i="16"/>
  <c r="P78" i="16"/>
  <c r="Q78" i="16"/>
  <c r="R78" i="16"/>
  <c r="S78" i="16"/>
  <c r="T78" i="16"/>
  <c r="U78" i="16"/>
  <c r="V78" i="16"/>
  <c r="W78" i="16"/>
  <c r="E79" i="16"/>
  <c r="F79" i="16"/>
  <c r="G79" i="16"/>
  <c r="H79" i="16"/>
  <c r="I79" i="16"/>
  <c r="J79" i="16"/>
  <c r="L79" i="16"/>
  <c r="M79" i="16"/>
  <c r="N79" i="16"/>
  <c r="O79" i="16"/>
  <c r="P79" i="16"/>
  <c r="Q79" i="16"/>
  <c r="R79" i="16"/>
  <c r="S79" i="16"/>
  <c r="T79" i="16"/>
  <c r="U79" i="16"/>
  <c r="V79" i="16"/>
  <c r="W79" i="16"/>
  <c r="E80" i="16"/>
  <c r="F80" i="16"/>
  <c r="G80" i="16"/>
  <c r="H80" i="16"/>
  <c r="I80" i="16"/>
  <c r="J80" i="16"/>
  <c r="L80" i="16"/>
  <c r="M80" i="16"/>
  <c r="N80" i="16"/>
  <c r="O80" i="16"/>
  <c r="P80" i="16"/>
  <c r="Q80" i="16"/>
  <c r="R80" i="16"/>
  <c r="S80" i="16"/>
  <c r="T80" i="16"/>
  <c r="U80" i="16"/>
  <c r="V80" i="16"/>
  <c r="W80" i="16"/>
  <c r="E81" i="16"/>
  <c r="F81" i="16"/>
  <c r="G81" i="16"/>
  <c r="H81" i="16"/>
  <c r="I81" i="16"/>
  <c r="J81" i="16"/>
  <c r="L81" i="16"/>
  <c r="M81" i="16"/>
  <c r="N81" i="16"/>
  <c r="O81" i="16"/>
  <c r="P81" i="16"/>
  <c r="Q81" i="16"/>
  <c r="R81" i="16"/>
  <c r="S81" i="16"/>
  <c r="T81" i="16"/>
  <c r="U81" i="16"/>
  <c r="V81" i="16"/>
  <c r="W81" i="16"/>
  <c r="E82" i="16"/>
  <c r="F82" i="16"/>
  <c r="G82" i="16"/>
  <c r="H82" i="16"/>
  <c r="I82" i="16"/>
  <c r="J82" i="16"/>
  <c r="L82" i="16"/>
  <c r="M82" i="16"/>
  <c r="N82" i="16"/>
  <c r="O82" i="16"/>
  <c r="P82" i="16"/>
  <c r="Q82" i="16"/>
  <c r="R82" i="16"/>
  <c r="S82" i="16"/>
  <c r="T82" i="16"/>
  <c r="U82" i="16"/>
  <c r="V82" i="16"/>
  <c r="W82" i="16"/>
  <c r="E83" i="16"/>
  <c r="F83" i="16"/>
  <c r="G83" i="16"/>
  <c r="H83" i="16"/>
  <c r="I83" i="16"/>
  <c r="J83" i="16"/>
  <c r="L83" i="16"/>
  <c r="M83" i="16"/>
  <c r="N83" i="16"/>
  <c r="O83" i="16"/>
  <c r="P83" i="16"/>
  <c r="Q83" i="16"/>
  <c r="R83" i="16"/>
  <c r="S83" i="16"/>
  <c r="T83" i="16"/>
  <c r="U83" i="16"/>
  <c r="V83" i="16"/>
  <c r="W83" i="16"/>
  <c r="C53" i="16"/>
  <c r="D53" i="16"/>
  <c r="C54" i="16"/>
  <c r="D54" i="16"/>
  <c r="C55" i="16"/>
  <c r="D55" i="16"/>
  <c r="C56" i="16"/>
  <c r="D56" i="16"/>
  <c r="C57" i="16"/>
  <c r="D57" i="16"/>
  <c r="C58" i="16"/>
  <c r="D58" i="16"/>
  <c r="C59" i="16"/>
  <c r="D59" i="16"/>
  <c r="C60" i="16"/>
  <c r="D60" i="16"/>
  <c r="W63" i="16"/>
  <c r="W64" i="16"/>
  <c r="W65" i="16"/>
  <c r="D39" i="16"/>
  <c r="G33" i="16"/>
  <c r="I33" i="16"/>
  <c r="J33" i="16"/>
  <c r="F22" i="16"/>
  <c r="A50" i="16" s="1"/>
  <c r="G22" i="16"/>
  <c r="H22" i="16"/>
  <c r="I22" i="16"/>
  <c r="J22" i="16"/>
  <c r="D40" i="16"/>
  <c r="C40" i="16"/>
  <c r="D41" i="16"/>
  <c r="C41" i="16"/>
  <c r="D42" i="16"/>
  <c r="C42" i="16"/>
  <c r="D43" i="16"/>
  <c r="C43" i="16"/>
  <c r="D44" i="16"/>
  <c r="C44" i="16"/>
  <c r="D45" i="16"/>
  <c r="C45" i="16"/>
  <c r="D46" i="16"/>
  <c r="C46" i="16"/>
  <c r="M33" i="16"/>
  <c r="I70" i="16"/>
  <c r="D47" i="16"/>
  <c r="C47" i="16"/>
  <c r="K33" i="16"/>
  <c r="D48" i="16"/>
  <c r="C48" i="16"/>
  <c r="D49" i="16"/>
  <c r="C49" i="16"/>
  <c r="K22" i="16"/>
  <c r="D50" i="16"/>
  <c r="C50" i="16"/>
  <c r="D51" i="16"/>
  <c r="C51" i="16"/>
  <c r="D52" i="16"/>
  <c r="C52" i="16"/>
  <c r="F33" i="16"/>
  <c r="I93" i="16"/>
  <c r="A37" i="16"/>
  <c r="A36" i="16"/>
  <c r="A21" i="16"/>
  <c r="A20" i="16"/>
  <c r="U62" i="16"/>
  <c r="V62" i="16"/>
  <c r="U63" i="16"/>
  <c r="V63" i="16"/>
  <c r="U64" i="16"/>
  <c r="V64" i="16"/>
  <c r="U65" i="16"/>
  <c r="V65" i="16"/>
  <c r="U66" i="16"/>
  <c r="V66" i="16"/>
  <c r="U67" i="16"/>
  <c r="V67" i="16"/>
  <c r="U68" i="16"/>
  <c r="V68" i="16"/>
  <c r="U69" i="16"/>
  <c r="V69" i="16"/>
  <c r="U70" i="16"/>
  <c r="V70" i="16"/>
  <c r="U71" i="16"/>
  <c r="V71" i="16"/>
  <c r="U72" i="16"/>
  <c r="V72" i="16"/>
  <c r="U73" i="16"/>
  <c r="V73" i="16"/>
  <c r="U74" i="16"/>
  <c r="V74" i="16"/>
  <c r="U75" i="16"/>
  <c r="V75" i="16"/>
  <c r="D110" i="16"/>
  <c r="D111" i="16"/>
  <c r="D112" i="16"/>
  <c r="E112" i="16" s="1"/>
  <c r="H33" i="16"/>
  <c r="L33" i="16"/>
  <c r="N33" i="16"/>
  <c r="O33" i="16"/>
  <c r="O118" i="16" s="1"/>
  <c r="O112" i="16"/>
  <c r="P33" i="16"/>
  <c r="Q33" i="16"/>
  <c r="Q112" i="16"/>
  <c r="R33" i="16"/>
  <c r="R113" i="16" s="1"/>
  <c r="S33" i="16"/>
  <c r="S112" i="16"/>
  <c r="T33" i="16"/>
  <c r="T139" i="16" s="1"/>
  <c r="U33" i="16"/>
  <c r="U113" i="16" s="1"/>
  <c r="V112" i="16"/>
  <c r="W33" i="16"/>
  <c r="O113" i="16"/>
  <c r="S113" i="16"/>
  <c r="V113" i="16"/>
  <c r="P114" i="16"/>
  <c r="V114" i="16"/>
  <c r="O115" i="16"/>
  <c r="Q115" i="16"/>
  <c r="S115" i="16"/>
  <c r="U115" i="16"/>
  <c r="V115" i="16"/>
  <c r="S116" i="16"/>
  <c r="V116" i="16"/>
  <c r="V117" i="16"/>
  <c r="Q118" i="16"/>
  <c r="S118" i="16"/>
  <c r="V118" i="16"/>
  <c r="V119" i="16"/>
  <c r="P120" i="16"/>
  <c r="V120" i="16"/>
  <c r="S121" i="16"/>
  <c r="V121" i="16"/>
  <c r="V122" i="16"/>
  <c r="Q123" i="16"/>
  <c r="S123" i="16"/>
  <c r="U123" i="16"/>
  <c r="V123" i="16"/>
  <c r="S124" i="16"/>
  <c r="V124" i="16"/>
  <c r="V125" i="16"/>
  <c r="O126" i="16"/>
  <c r="Q126" i="16"/>
  <c r="S126" i="16"/>
  <c r="V126" i="16"/>
  <c r="V127" i="16"/>
  <c r="W127" i="16"/>
  <c r="V128" i="16"/>
  <c r="Q129" i="16"/>
  <c r="S129" i="16"/>
  <c r="V129" i="16"/>
  <c r="W129" i="16"/>
  <c r="S130" i="16"/>
  <c r="V130" i="16"/>
  <c r="V131" i="16"/>
  <c r="V132" i="16"/>
  <c r="W132" i="16"/>
  <c r="V133" i="16"/>
  <c r="V134" i="16"/>
  <c r="W134" i="16"/>
  <c r="V135" i="16"/>
  <c r="V136" i="16"/>
  <c r="V137" i="16"/>
  <c r="P138" i="16"/>
  <c r="V138" i="16"/>
  <c r="V139" i="16"/>
  <c r="V140" i="16"/>
  <c r="W140" i="16"/>
  <c r="V141" i="16"/>
  <c r="V142" i="16"/>
  <c r="V143" i="16"/>
  <c r="N144" i="16"/>
  <c r="V144" i="16"/>
  <c r="V145" i="16"/>
  <c r="P146" i="16"/>
  <c r="V146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H93" i="16"/>
  <c r="S26" i="16"/>
  <c r="S27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E62" i="16"/>
  <c r="N62" i="16"/>
  <c r="O62" i="16"/>
  <c r="P62" i="16"/>
  <c r="Q62" i="16"/>
  <c r="R62" i="16"/>
  <c r="S62" i="16"/>
  <c r="T62" i="16"/>
  <c r="W62" i="16"/>
  <c r="E63" i="16"/>
  <c r="N63" i="16"/>
  <c r="O63" i="16"/>
  <c r="P63" i="16"/>
  <c r="Q63" i="16"/>
  <c r="R63" i="16"/>
  <c r="S63" i="16"/>
  <c r="T63" i="16"/>
  <c r="E64" i="16"/>
  <c r="N64" i="16"/>
  <c r="O64" i="16"/>
  <c r="P64" i="16"/>
  <c r="Q64" i="16"/>
  <c r="R64" i="16"/>
  <c r="S64" i="16"/>
  <c r="T64" i="16"/>
  <c r="E65" i="16"/>
  <c r="N65" i="16"/>
  <c r="O65" i="16"/>
  <c r="P65" i="16"/>
  <c r="Q65" i="16"/>
  <c r="R65" i="16"/>
  <c r="S65" i="16"/>
  <c r="T65" i="16"/>
  <c r="E66" i="16"/>
  <c r="N66" i="16"/>
  <c r="O66" i="16"/>
  <c r="P66" i="16"/>
  <c r="Q66" i="16"/>
  <c r="R66" i="16"/>
  <c r="S66" i="16"/>
  <c r="T66" i="16"/>
  <c r="W66" i="16"/>
  <c r="E67" i="16"/>
  <c r="N67" i="16"/>
  <c r="O67" i="16"/>
  <c r="P67" i="16"/>
  <c r="Q67" i="16"/>
  <c r="R67" i="16"/>
  <c r="S67" i="16"/>
  <c r="T67" i="16"/>
  <c r="W67" i="16"/>
  <c r="E68" i="16"/>
  <c r="N68" i="16"/>
  <c r="O68" i="16"/>
  <c r="P68" i="16"/>
  <c r="Q68" i="16"/>
  <c r="R68" i="16"/>
  <c r="S68" i="16"/>
  <c r="T68" i="16"/>
  <c r="W68" i="16"/>
  <c r="E69" i="16"/>
  <c r="N69" i="16"/>
  <c r="O69" i="16"/>
  <c r="P69" i="16"/>
  <c r="Q69" i="16"/>
  <c r="R69" i="16"/>
  <c r="S69" i="16"/>
  <c r="T69" i="16"/>
  <c r="W69" i="16"/>
  <c r="E70" i="16"/>
  <c r="H70" i="16"/>
  <c r="N70" i="16"/>
  <c r="O70" i="16"/>
  <c r="P70" i="16"/>
  <c r="Q70" i="16"/>
  <c r="R70" i="16"/>
  <c r="S70" i="16"/>
  <c r="T70" i="16"/>
  <c r="W70" i="16"/>
  <c r="E71" i="16"/>
  <c r="N71" i="16"/>
  <c r="O71" i="16"/>
  <c r="P71" i="16"/>
  <c r="Q71" i="16"/>
  <c r="R71" i="16"/>
  <c r="S71" i="16"/>
  <c r="T71" i="16"/>
  <c r="W71" i="16"/>
  <c r="E72" i="16"/>
  <c r="N72" i="16"/>
  <c r="O72" i="16"/>
  <c r="P72" i="16"/>
  <c r="Q72" i="16"/>
  <c r="R72" i="16"/>
  <c r="S72" i="16"/>
  <c r="T72" i="16"/>
  <c r="W72" i="16"/>
  <c r="E73" i="16"/>
  <c r="N73" i="16"/>
  <c r="O73" i="16"/>
  <c r="P73" i="16"/>
  <c r="Q73" i="16"/>
  <c r="R73" i="16"/>
  <c r="S73" i="16"/>
  <c r="T73" i="16"/>
  <c r="W73" i="16"/>
  <c r="E74" i="16"/>
  <c r="N74" i="16"/>
  <c r="O74" i="16"/>
  <c r="P74" i="16"/>
  <c r="Q74" i="16"/>
  <c r="R74" i="16"/>
  <c r="S74" i="16"/>
  <c r="T74" i="16"/>
  <c r="W74" i="16"/>
  <c r="E75" i="16"/>
  <c r="N75" i="16"/>
  <c r="O75" i="16"/>
  <c r="P75" i="16"/>
  <c r="Q75" i="16"/>
  <c r="R75" i="16"/>
  <c r="S75" i="16"/>
  <c r="T75" i="16"/>
  <c r="W75" i="16"/>
  <c r="N85" i="16"/>
  <c r="O85" i="16"/>
  <c r="P85" i="16"/>
  <c r="Q85" i="16"/>
  <c r="R85" i="16"/>
  <c r="S85" i="16"/>
  <c r="T85" i="16"/>
  <c r="U85" i="16"/>
  <c r="V85" i="16"/>
  <c r="W85" i="16"/>
  <c r="N86" i="16"/>
  <c r="O86" i="16"/>
  <c r="P86" i="16"/>
  <c r="Q86" i="16"/>
  <c r="R86" i="16"/>
  <c r="S86" i="16"/>
  <c r="T86" i="16"/>
  <c r="U86" i="16"/>
  <c r="V86" i="16"/>
  <c r="W86" i="16"/>
  <c r="N87" i="16"/>
  <c r="O87" i="16"/>
  <c r="P87" i="16"/>
  <c r="Q87" i="16"/>
  <c r="R87" i="16"/>
  <c r="S87" i="16"/>
  <c r="T87" i="16"/>
  <c r="U87" i="16"/>
  <c r="V87" i="16"/>
  <c r="W87" i="16"/>
  <c r="N88" i="16"/>
  <c r="O88" i="16"/>
  <c r="P88" i="16"/>
  <c r="Q88" i="16"/>
  <c r="R88" i="16"/>
  <c r="S88" i="16"/>
  <c r="T88" i="16"/>
  <c r="U88" i="16"/>
  <c r="V88" i="16"/>
  <c r="W88" i="16"/>
  <c r="N89" i="16"/>
  <c r="O89" i="16"/>
  <c r="P89" i="16"/>
  <c r="Q89" i="16"/>
  <c r="R89" i="16"/>
  <c r="S89" i="16"/>
  <c r="T89" i="16"/>
  <c r="U89" i="16"/>
  <c r="V89" i="16"/>
  <c r="W89" i="16"/>
  <c r="N90" i="16"/>
  <c r="O90" i="16"/>
  <c r="P90" i="16"/>
  <c r="Q90" i="16"/>
  <c r="R90" i="16"/>
  <c r="S90" i="16"/>
  <c r="T90" i="16"/>
  <c r="U90" i="16"/>
  <c r="V90" i="16"/>
  <c r="W90" i="16"/>
  <c r="N91" i="16"/>
  <c r="O91" i="16"/>
  <c r="P91" i="16"/>
  <c r="Q91" i="16"/>
  <c r="R91" i="16"/>
  <c r="S91" i="16"/>
  <c r="T91" i="16"/>
  <c r="U91" i="16"/>
  <c r="V91" i="16"/>
  <c r="W91" i="16"/>
  <c r="N92" i="16"/>
  <c r="O92" i="16"/>
  <c r="P92" i="16"/>
  <c r="Q92" i="16"/>
  <c r="R92" i="16"/>
  <c r="S92" i="16"/>
  <c r="T92" i="16"/>
  <c r="U92" i="16"/>
  <c r="V92" i="16"/>
  <c r="W92" i="16"/>
  <c r="N93" i="16"/>
  <c r="O93" i="16"/>
  <c r="P93" i="16"/>
  <c r="Q93" i="16"/>
  <c r="R93" i="16"/>
  <c r="S93" i="16"/>
  <c r="T93" i="16"/>
  <c r="U93" i="16"/>
  <c r="V93" i="16"/>
  <c r="W93" i="16"/>
  <c r="N94" i="16"/>
  <c r="O94" i="16"/>
  <c r="P94" i="16"/>
  <c r="Q94" i="16"/>
  <c r="R94" i="16"/>
  <c r="S94" i="16"/>
  <c r="T94" i="16"/>
  <c r="U94" i="16"/>
  <c r="V94" i="16"/>
  <c r="W94" i="16"/>
  <c r="N95" i="16"/>
  <c r="O95" i="16"/>
  <c r="P95" i="16"/>
  <c r="Q95" i="16"/>
  <c r="R95" i="16"/>
  <c r="S95" i="16"/>
  <c r="T95" i="16"/>
  <c r="U95" i="16"/>
  <c r="V95" i="16"/>
  <c r="W95" i="16"/>
  <c r="N96" i="16"/>
  <c r="O96" i="16"/>
  <c r="P96" i="16"/>
  <c r="Q96" i="16"/>
  <c r="R96" i="16"/>
  <c r="S96" i="16"/>
  <c r="T96" i="16"/>
  <c r="U96" i="16"/>
  <c r="V96" i="16"/>
  <c r="W96" i="16"/>
  <c r="N97" i="16"/>
  <c r="O97" i="16"/>
  <c r="P97" i="16"/>
  <c r="Q97" i="16"/>
  <c r="R97" i="16"/>
  <c r="S97" i="16"/>
  <c r="T97" i="16"/>
  <c r="U97" i="16"/>
  <c r="V97" i="16"/>
  <c r="W97" i="16"/>
  <c r="N98" i="16"/>
  <c r="O98" i="16"/>
  <c r="P98" i="16"/>
  <c r="Q98" i="16"/>
  <c r="R98" i="16"/>
  <c r="S98" i="16"/>
  <c r="T98" i="16"/>
  <c r="U98" i="16"/>
  <c r="V98" i="16"/>
  <c r="W98" i="16"/>
  <c r="E109" i="16"/>
  <c r="I109" i="16" s="1"/>
  <c r="Q109" i="16"/>
  <c r="S109" i="16"/>
  <c r="V109" i="16"/>
  <c r="E110" i="16"/>
  <c r="J110" i="16" s="1"/>
  <c r="H110" i="16"/>
  <c r="Q110" i="16"/>
  <c r="S110" i="16"/>
  <c r="V110" i="16"/>
  <c r="S111" i="16"/>
  <c r="V111" i="16"/>
  <c r="W126" i="16"/>
  <c r="W125" i="16"/>
  <c r="S146" i="16"/>
  <c r="Q146" i="16"/>
  <c r="S145" i="16"/>
  <c r="Q145" i="16"/>
  <c r="S144" i="16"/>
  <c r="Q144" i="16"/>
  <c r="S143" i="16"/>
  <c r="Q143" i="16"/>
  <c r="U142" i="16"/>
  <c r="S142" i="16"/>
  <c r="Q142" i="16"/>
  <c r="S141" i="16"/>
  <c r="Q141" i="16"/>
  <c r="S140" i="16"/>
  <c r="Q140" i="16"/>
  <c r="S139" i="16"/>
  <c r="Q139" i="16"/>
  <c r="S138" i="16"/>
  <c r="Q138" i="16"/>
  <c r="S137" i="16"/>
  <c r="Q137" i="16"/>
  <c r="S136" i="16"/>
  <c r="Q136" i="16"/>
  <c r="S135" i="16"/>
  <c r="Q135" i="16"/>
  <c r="U134" i="16"/>
  <c r="S134" i="16"/>
  <c r="Q134" i="16"/>
  <c r="S133" i="16"/>
  <c r="Q133" i="16"/>
  <c r="S132" i="16"/>
  <c r="Q132" i="16"/>
  <c r="S131" i="16"/>
  <c r="Q131" i="16"/>
  <c r="S128" i="16"/>
  <c r="Q128" i="16"/>
  <c r="S127" i="16"/>
  <c r="Q127" i="16"/>
  <c r="S125" i="16"/>
  <c r="Q125" i="16"/>
  <c r="O125" i="16"/>
  <c r="S122" i="16"/>
  <c r="Q122" i="16"/>
  <c r="R121" i="16"/>
  <c r="S120" i="16"/>
  <c r="O120" i="16"/>
  <c r="S119" i="16"/>
  <c r="S117" i="16"/>
  <c r="O117" i="16"/>
  <c r="S114" i="16"/>
  <c r="Q114" i="16"/>
  <c r="L31" i="16"/>
  <c r="U29" i="16"/>
  <c r="U26" i="16"/>
  <c r="U30" i="16"/>
  <c r="U27" i="16"/>
  <c r="H31" i="16"/>
  <c r="Q30" i="16"/>
  <c r="Q27" i="16"/>
  <c r="Q31" i="16"/>
  <c r="M31" i="16"/>
  <c r="T29" i="16"/>
  <c r="T30" i="16"/>
  <c r="T31" i="16"/>
  <c r="I29" i="16"/>
  <c r="I31" i="16" s="1"/>
  <c r="P30" i="16"/>
  <c r="P26" i="16"/>
  <c r="P27" i="16"/>
  <c r="K31" i="16"/>
  <c r="O24" i="16"/>
  <c r="O25" i="16" s="1"/>
  <c r="O31" i="16"/>
  <c r="O30" i="16"/>
  <c r="T127" i="16"/>
  <c r="T132" i="16"/>
  <c r="T138" i="16"/>
  <c r="T142" i="16"/>
  <c r="T110" i="16"/>
  <c r="T130" i="16"/>
  <c r="T123" i="16"/>
  <c r="T118" i="16"/>
  <c r="T116" i="16"/>
  <c r="R117" i="16"/>
  <c r="P119" i="16"/>
  <c r="P122" i="16"/>
  <c r="P125" i="16"/>
  <c r="P128" i="16"/>
  <c r="P131" i="16"/>
  <c r="P133" i="16"/>
  <c r="P135" i="16"/>
  <c r="P137" i="16"/>
  <c r="P139" i="16"/>
  <c r="P141" i="16"/>
  <c r="P143" i="16"/>
  <c r="P145" i="16"/>
  <c r="P110" i="16"/>
  <c r="P111" i="16"/>
  <c r="N119" i="16"/>
  <c r="N122" i="16"/>
  <c r="N125" i="16"/>
  <c r="N131" i="16"/>
  <c r="N133" i="16"/>
  <c r="N135" i="16"/>
  <c r="N139" i="16"/>
  <c r="N141" i="16"/>
  <c r="N143" i="16"/>
  <c r="N109" i="16"/>
  <c r="N130" i="16"/>
  <c r="N129" i="16"/>
  <c r="N124" i="16"/>
  <c r="N123" i="16"/>
  <c r="N121" i="16"/>
  <c r="N116" i="16"/>
  <c r="N115" i="16"/>
  <c r="N113" i="16"/>
  <c r="W119" i="16"/>
  <c r="W131" i="16"/>
  <c r="W133" i="16"/>
  <c r="W137" i="16"/>
  <c r="W139" i="16"/>
  <c r="W141" i="16"/>
  <c r="W145" i="16"/>
  <c r="W109" i="16"/>
  <c r="W130" i="16"/>
  <c r="W128" i="16"/>
  <c r="W112" i="16"/>
  <c r="W117" i="16"/>
  <c r="W115" i="16"/>
  <c r="W110" i="16"/>
  <c r="W118" i="16"/>
  <c r="W116" i="16"/>
  <c r="W121" i="16"/>
  <c r="P113" i="16"/>
  <c r="P116" i="16"/>
  <c r="P121" i="16"/>
  <c r="P124" i="16"/>
  <c r="P129" i="16"/>
  <c r="P109" i="16"/>
  <c r="S24" i="16"/>
  <c r="S25" i="16" s="1"/>
  <c r="T145" i="16"/>
  <c r="P144" i="16"/>
  <c r="N142" i="16"/>
  <c r="T137" i="16"/>
  <c r="P136" i="16"/>
  <c r="N134" i="16"/>
  <c r="N127" i="16"/>
  <c r="T119" i="16"/>
  <c r="P117" i="16"/>
  <c r="P112" i="16"/>
  <c r="N112" i="16"/>
  <c r="D113" i="16"/>
  <c r="W124" i="16"/>
  <c r="W111" i="16"/>
  <c r="N110" i="16"/>
  <c r="W146" i="16"/>
  <c r="T143" i="16"/>
  <c r="P142" i="16"/>
  <c r="N140" i="16"/>
  <c r="W138" i="16"/>
  <c r="T135" i="16"/>
  <c r="P134" i="16"/>
  <c r="N132" i="16"/>
  <c r="T128" i="16"/>
  <c r="P127" i="16"/>
  <c r="T125" i="16"/>
  <c r="E111" i="16"/>
  <c r="P115" i="16"/>
  <c r="P118" i="16"/>
  <c r="P123" i="16"/>
  <c r="P126" i="16"/>
  <c r="P130" i="16"/>
  <c r="W120" i="16"/>
  <c r="N111" i="16"/>
  <c r="S29" i="16"/>
  <c r="O27" i="16"/>
  <c r="O26" i="16"/>
  <c r="N146" i="16"/>
  <c r="W144" i="16"/>
  <c r="T141" i="16"/>
  <c r="P140" i="16"/>
  <c r="N138" i="16"/>
  <c r="W136" i="16"/>
  <c r="T133" i="16"/>
  <c r="P132" i="16"/>
  <c r="W123" i="16"/>
  <c r="N120" i="16"/>
  <c r="N114" i="16"/>
  <c r="J112" i="16"/>
  <c r="L112" i="16"/>
  <c r="I112" i="16"/>
  <c r="L111" i="16"/>
  <c r="F111" i="16"/>
  <c r="I111" i="16"/>
  <c r="C112" i="16"/>
  <c r="C111" i="16"/>
  <c r="G85" i="16"/>
  <c r="G62" i="16"/>
  <c r="K111" i="16"/>
  <c r="K112" i="16"/>
  <c r="J111" i="16"/>
  <c r="J109" i="16"/>
  <c r="F62" i="16"/>
  <c r="F85" i="16"/>
  <c r="F112" i="16"/>
  <c r="F109" i="16"/>
  <c r="A54" i="16"/>
  <c r="A100" i="16" s="1"/>
  <c r="A52" i="16"/>
  <c r="G110" i="16"/>
  <c r="F168" i="16"/>
  <c r="G28" i="16"/>
  <c r="K25" i="20"/>
  <c r="O25" i="19"/>
  <c r="O34" i="19"/>
  <c r="O35" i="19"/>
  <c r="O37" i="19"/>
  <c r="O29" i="19"/>
  <c r="O28" i="19"/>
  <c r="O26" i="19"/>
  <c r="O32" i="19"/>
  <c r="O33" i="19"/>
  <c r="O27" i="19"/>
  <c r="O30" i="19"/>
  <c r="O31" i="19"/>
  <c r="G33" i="20"/>
  <c r="K35" i="20"/>
  <c r="F27" i="20"/>
  <c r="E36" i="20"/>
  <c r="G25" i="20"/>
  <c r="J30" i="20"/>
  <c r="K33" i="20"/>
  <c r="I35" i="20"/>
  <c r="F25" i="20"/>
  <c r="J25" i="20"/>
  <c r="G28" i="20"/>
  <c r="K28" i="20"/>
  <c r="G32" i="20"/>
  <c r="K32" i="20"/>
  <c r="F33" i="20"/>
  <c r="J33" i="20"/>
  <c r="G36" i="20"/>
  <c r="K36" i="20"/>
  <c r="J27" i="20"/>
  <c r="J31" i="20"/>
  <c r="H28" i="20"/>
  <c r="F30" i="20"/>
  <c r="D36" i="20"/>
  <c r="F28" i="20"/>
  <c r="J28" i="20"/>
  <c r="G31" i="20"/>
  <c r="F32" i="20"/>
  <c r="J32" i="20"/>
  <c r="A83" i="19"/>
  <c r="A84" i="19" s="1"/>
  <c r="A85" i="19" s="1"/>
  <c r="A86" i="19" s="1"/>
  <c r="A87" i="19" s="1"/>
  <c r="A88" i="19" s="1"/>
  <c r="A89" i="19" s="1"/>
  <c r="A90" i="19" s="1"/>
  <c r="A91" i="19" s="1"/>
  <c r="A92" i="19" s="1"/>
  <c r="A93" i="19" s="1"/>
  <c r="A94" i="19" s="1"/>
  <c r="A95" i="19" s="1"/>
  <c r="A96" i="19" s="1"/>
  <c r="A97" i="19" s="1"/>
  <c r="A98" i="19" s="1"/>
  <c r="A99" i="19" s="1"/>
  <c r="A100" i="19" s="1"/>
  <c r="A101" i="19" s="1"/>
  <c r="A102" i="19" s="1"/>
  <c r="A103" i="19" s="1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7" i="19" s="1"/>
  <c r="A128" i="19" s="1"/>
  <c r="A108" i="16"/>
  <c r="A112" i="16"/>
  <c r="A61" i="16"/>
  <c r="A111" i="16"/>
  <c r="A109" i="16"/>
  <c r="G31" i="16" l="1"/>
  <c r="G29" i="16"/>
  <c r="W30" i="16"/>
  <c r="W24" i="16"/>
  <c r="W25" i="16" s="1"/>
  <c r="W29" i="16"/>
  <c r="W31" i="16"/>
  <c r="W26" i="16"/>
  <c r="W27" i="16"/>
  <c r="D114" i="16"/>
  <c r="E113" i="16"/>
  <c r="I33" i="20"/>
  <c r="I31" i="20"/>
  <c r="I24" i="20"/>
  <c r="I56" i="20" s="1"/>
  <c r="I72" i="20" s="1"/>
  <c r="A48" i="16"/>
  <c r="C110" i="16"/>
  <c r="R132" i="16"/>
  <c r="U137" i="16"/>
  <c r="U145" i="16"/>
  <c r="G112" i="16"/>
  <c r="G109" i="16"/>
  <c r="G111" i="16"/>
  <c r="E168" i="16"/>
  <c r="F28" i="16" s="1"/>
  <c r="U112" i="16"/>
  <c r="U126" i="16"/>
  <c r="U129" i="16"/>
  <c r="U128" i="16"/>
  <c r="U127" i="16"/>
  <c r="U125" i="16"/>
  <c r="U118" i="16"/>
  <c r="U121" i="16"/>
  <c r="U116" i="16"/>
  <c r="U144" i="16"/>
  <c r="U140" i="16"/>
  <c r="U132" i="16"/>
  <c r="U117" i="16"/>
  <c r="U109" i="16"/>
  <c r="U143" i="16"/>
  <c r="U139" i="16"/>
  <c r="U135" i="16"/>
  <c r="U131" i="16"/>
  <c r="U122" i="16"/>
  <c r="U120" i="16"/>
  <c r="U114" i="16"/>
  <c r="U136" i="16"/>
  <c r="R145" i="16"/>
  <c r="R124" i="16"/>
  <c r="R120" i="16"/>
  <c r="R136" i="16"/>
  <c r="R144" i="16"/>
  <c r="R116" i="16"/>
  <c r="R127" i="16"/>
  <c r="R140" i="16"/>
  <c r="R143" i="16"/>
  <c r="R135" i="16"/>
  <c r="R125" i="16"/>
  <c r="R112" i="16"/>
  <c r="R115" i="16"/>
  <c r="R130" i="16"/>
  <c r="R141" i="16"/>
  <c r="R139" i="16"/>
  <c r="R138" i="16"/>
  <c r="R126" i="16"/>
  <c r="R133" i="16"/>
  <c r="R122" i="16"/>
  <c r="R119" i="16"/>
  <c r="R137" i="16"/>
  <c r="R134" i="16"/>
  <c r="R109" i="16"/>
  <c r="R128" i="16"/>
  <c r="R123" i="16"/>
  <c r="R111" i="16"/>
  <c r="R114" i="16"/>
  <c r="H109" i="16"/>
  <c r="H112" i="16"/>
  <c r="H111" i="16"/>
  <c r="A60" i="16"/>
  <c r="A23" i="16"/>
  <c r="E25" i="20"/>
  <c r="E57" i="20" s="1"/>
  <c r="E73" i="20" s="1"/>
  <c r="I32" i="20"/>
  <c r="I26" i="20"/>
  <c r="A42" i="16"/>
  <c r="A58" i="16"/>
  <c r="R146" i="16"/>
  <c r="U119" i="16"/>
  <c r="U133" i="16"/>
  <c r="U141" i="16"/>
  <c r="U110" i="16"/>
  <c r="L110" i="16"/>
  <c r="I110" i="16"/>
  <c r="U124" i="16"/>
  <c r="E30" i="20"/>
  <c r="E62" i="20" s="1"/>
  <c r="E78" i="20" s="1"/>
  <c r="E24" i="20"/>
  <c r="A56" i="16"/>
  <c r="K110" i="16"/>
  <c r="A55" i="16"/>
  <c r="R131" i="16"/>
  <c r="M110" i="16"/>
  <c r="R118" i="16"/>
  <c r="R110" i="16"/>
  <c r="R142" i="16"/>
  <c r="R129" i="16"/>
  <c r="U138" i="16"/>
  <c r="U146" i="16"/>
  <c r="U111" i="16"/>
  <c r="U130" i="16"/>
  <c r="K109" i="16"/>
  <c r="M109" i="16"/>
  <c r="T112" i="16"/>
  <c r="T111" i="16"/>
  <c r="T126" i="16"/>
  <c r="T140" i="16"/>
  <c r="T117" i="16"/>
  <c r="O127" i="16"/>
  <c r="O110" i="16"/>
  <c r="O130" i="16"/>
  <c r="O123" i="16"/>
  <c r="O121" i="16"/>
  <c r="P24" i="16"/>
  <c r="P25" i="16" s="1"/>
  <c r="P29" i="16"/>
  <c r="P31" i="16"/>
  <c r="T27" i="16"/>
  <c r="T24" i="16"/>
  <c r="T25" i="16" s="1"/>
  <c r="T26" i="16"/>
  <c r="C109" i="16"/>
  <c r="L109" i="16"/>
  <c r="T122" i="16"/>
  <c r="T131" i="16"/>
  <c r="T109" i="16"/>
  <c r="T120" i="16"/>
  <c r="T136" i="16"/>
  <c r="T144" i="16"/>
  <c r="T129" i="16"/>
  <c r="T121" i="16"/>
  <c r="T113" i="16"/>
  <c r="T114" i="16"/>
  <c r="T134" i="16"/>
  <c r="T146" i="16"/>
  <c r="T124" i="16"/>
  <c r="T115" i="16"/>
  <c r="O122" i="16"/>
  <c r="O116" i="16"/>
  <c r="O124" i="16"/>
  <c r="O129" i="16"/>
  <c r="O109" i="16"/>
  <c r="O111" i="16"/>
  <c r="O146" i="16"/>
  <c r="O145" i="16"/>
  <c r="O144" i="16"/>
  <c r="O143" i="16"/>
  <c r="O142" i="16"/>
  <c r="O141" i="16"/>
  <c r="O140" i="16"/>
  <c r="O139" i="16"/>
  <c r="O138" i="16"/>
  <c r="O137" i="16"/>
  <c r="O136" i="16"/>
  <c r="O135" i="16"/>
  <c r="O134" i="16"/>
  <c r="O133" i="16"/>
  <c r="O132" i="16"/>
  <c r="O131" i="16"/>
  <c r="O128" i="16"/>
  <c r="O119" i="16"/>
  <c r="O114" i="16"/>
  <c r="F110" i="16"/>
  <c r="M112" i="16"/>
  <c r="M111" i="16"/>
  <c r="I168" i="16"/>
  <c r="J28" i="16" s="1"/>
  <c r="M168" i="16"/>
  <c r="N28" i="16" s="1"/>
  <c r="Q26" i="16"/>
  <c r="Q29" i="16"/>
  <c r="Q24" i="16"/>
  <c r="Q25" i="16" s="1"/>
  <c r="Q168" i="16"/>
  <c r="R28" i="16" s="1"/>
  <c r="S31" i="16"/>
  <c r="S30" i="16"/>
  <c r="U24" i="16"/>
  <c r="U25" i="16" s="1"/>
  <c r="U31" i="16"/>
  <c r="W142" i="16"/>
  <c r="W122" i="16"/>
  <c r="W135" i="16"/>
  <c r="W143" i="16"/>
  <c r="W114" i="16"/>
  <c r="W113" i="16"/>
  <c r="Q113" i="16"/>
  <c r="Q116" i="16"/>
  <c r="Q121" i="16"/>
  <c r="Q124" i="16"/>
  <c r="Q130" i="16"/>
  <c r="Q111" i="16"/>
  <c r="Q120" i="16"/>
  <c r="Q119" i="16"/>
  <c r="Q117" i="16"/>
  <c r="N117" i="16"/>
  <c r="N136" i="16"/>
  <c r="N128" i="16"/>
  <c r="N137" i="16"/>
  <c r="N145" i="16"/>
  <c r="N126" i="16"/>
  <c r="N118" i="16"/>
  <c r="U168" i="16"/>
  <c r="V28" i="16" s="1"/>
  <c r="G65" i="16"/>
  <c r="D81" i="20"/>
  <c r="D49" i="20"/>
  <c r="D65" i="20"/>
  <c r="H64" i="20"/>
  <c r="H80" i="20" s="1"/>
  <c r="H48" i="20"/>
  <c r="I65" i="20"/>
  <c r="I81" i="20" s="1"/>
  <c r="I49" i="20"/>
  <c r="E64" i="20"/>
  <c r="E80" i="20" s="1"/>
  <c r="E48" i="20"/>
  <c r="F64" i="20"/>
  <c r="F80" i="20" s="1"/>
  <c r="F48" i="20"/>
  <c r="D68" i="20"/>
  <c r="D84" i="20" s="1"/>
  <c r="D52" i="20"/>
  <c r="J63" i="20"/>
  <c r="J79" i="20" s="1"/>
  <c r="J47" i="20"/>
  <c r="F65" i="20"/>
  <c r="F81" i="20" s="1"/>
  <c r="F49" i="20"/>
  <c r="J57" i="20"/>
  <c r="J73" i="20" s="1"/>
  <c r="J41" i="20"/>
  <c r="E68" i="20"/>
  <c r="E84" i="20" s="1"/>
  <c r="E52" i="20"/>
  <c r="E56" i="20"/>
  <c r="E72" i="20" s="1"/>
  <c r="E40" i="20"/>
  <c r="G65" i="20"/>
  <c r="G81" i="20" s="1"/>
  <c r="G49" i="20"/>
  <c r="G40" i="20"/>
  <c r="G56" i="20"/>
  <c r="G72" i="20" s="1"/>
  <c r="I63" i="20"/>
  <c r="I79" i="20" s="1"/>
  <c r="I47" i="20"/>
  <c r="G58" i="20"/>
  <c r="G74" i="20" s="1"/>
  <c r="G42" i="20"/>
  <c r="J44" i="20"/>
  <c r="J60" i="20"/>
  <c r="J76" i="20" s="1"/>
  <c r="F62" i="20"/>
  <c r="F78" i="20" s="1"/>
  <c r="F46" i="20"/>
  <c r="J65" i="20"/>
  <c r="J81" i="20" s="1"/>
  <c r="J49" i="20"/>
  <c r="I58" i="20"/>
  <c r="I74" i="20" s="1"/>
  <c r="I42" i="20"/>
  <c r="G57" i="20"/>
  <c r="G73" i="20" s="1"/>
  <c r="G41" i="20"/>
  <c r="J59" i="20"/>
  <c r="J75" i="20" s="1"/>
  <c r="J43" i="20"/>
  <c r="G64" i="20"/>
  <c r="G80" i="20" s="1"/>
  <c r="G48" i="20"/>
  <c r="G60" i="20"/>
  <c r="G76" i="20" s="1"/>
  <c r="G44" i="20"/>
  <c r="J62" i="20"/>
  <c r="J78" i="20" s="1"/>
  <c r="J46" i="20"/>
  <c r="G51" i="20"/>
  <c r="G67" i="20"/>
  <c r="G83" i="20" s="1"/>
  <c r="H33" i="20"/>
  <c r="D25" i="20"/>
  <c r="D30" i="20"/>
  <c r="I25" i="20"/>
  <c r="E31" i="20"/>
  <c r="I36" i="20"/>
  <c r="H35" i="20"/>
  <c r="H36" i="20"/>
  <c r="I28" i="20"/>
  <c r="E33" i="20"/>
  <c r="H25" i="20"/>
  <c r="H29" i="20"/>
  <c r="F51" i="19"/>
  <c r="F67" i="19" s="1"/>
  <c r="F60" i="20"/>
  <c r="F76" i="20" s="1"/>
  <c r="F44" i="20"/>
  <c r="H60" i="20"/>
  <c r="H76" i="20" s="1"/>
  <c r="H44" i="20"/>
  <c r="K68" i="20"/>
  <c r="K84" i="20" s="1"/>
  <c r="K52" i="20"/>
  <c r="K65" i="20"/>
  <c r="K81" i="20" s="1"/>
  <c r="K49" i="20"/>
  <c r="K51" i="20"/>
  <c r="K67" i="20"/>
  <c r="K83" i="20" s="1"/>
  <c r="J48" i="20"/>
  <c r="J64" i="20"/>
  <c r="J80" i="20" s="1"/>
  <c r="I64" i="20"/>
  <c r="I80" i="20" s="1"/>
  <c r="I48" i="20"/>
  <c r="I40" i="20"/>
  <c r="I67" i="20"/>
  <c r="I83" i="20" s="1"/>
  <c r="I51" i="20"/>
  <c r="F59" i="20"/>
  <c r="F75" i="20" s="1"/>
  <c r="F43" i="20"/>
  <c r="K57" i="20"/>
  <c r="K73" i="20" s="1"/>
  <c r="K41" i="20"/>
  <c r="F68" i="20"/>
  <c r="F84" i="20" s="1"/>
  <c r="F52" i="20"/>
  <c r="G63" i="20"/>
  <c r="G79" i="20" s="1"/>
  <c r="G47" i="20"/>
  <c r="G68" i="20"/>
  <c r="G84" i="20" s="1"/>
  <c r="G52" i="20"/>
  <c r="K64" i="20"/>
  <c r="K80" i="20" s="1"/>
  <c r="K48" i="20"/>
  <c r="K60" i="20"/>
  <c r="K76" i="20" s="1"/>
  <c r="K44" i="20"/>
  <c r="F57" i="20"/>
  <c r="F73" i="20" s="1"/>
  <c r="F41" i="20"/>
  <c r="J52" i="20"/>
  <c r="J68" i="20"/>
  <c r="J84" i="20" s="1"/>
  <c r="K62" i="20"/>
  <c r="K78" i="20" s="1"/>
  <c r="K46" i="20"/>
  <c r="H31" i="20"/>
  <c r="D34" i="20"/>
  <c r="H27" i="20"/>
  <c r="D26" i="20"/>
  <c r="D32" i="20"/>
  <c r="D28" i="20"/>
  <c r="E28" i="20"/>
  <c r="D29" i="20"/>
  <c r="R25" i="19"/>
  <c r="A49" i="16"/>
  <c r="A43" i="16"/>
  <c r="A44" i="16"/>
  <c r="A40" i="16"/>
  <c r="A51" i="16"/>
  <c r="A46" i="16"/>
  <c r="A53" i="16"/>
  <c r="A99" i="16" s="1"/>
  <c r="A22" i="16"/>
  <c r="A57" i="16"/>
  <c r="A41" i="16"/>
  <c r="A47" i="16"/>
  <c r="A59" i="16"/>
  <c r="A45" i="16"/>
  <c r="A39" i="16"/>
  <c r="A83" i="16"/>
  <c r="A106" i="16" s="1"/>
  <c r="A81" i="16"/>
  <c r="A104" i="16" s="1"/>
  <c r="A79" i="16"/>
  <c r="I46" i="19"/>
  <c r="I62" i="19" s="1"/>
  <c r="A25" i="19"/>
  <c r="A82" i="16"/>
  <c r="A78" i="16"/>
  <c r="A101" i="16" s="1"/>
  <c r="K34" i="20"/>
  <c r="E34" i="20"/>
  <c r="G34" i="20"/>
  <c r="H34" i="20"/>
  <c r="F34" i="20"/>
  <c r="F35" i="20"/>
  <c r="I34" i="20"/>
  <c r="E35" i="20"/>
  <c r="J35" i="20"/>
  <c r="D35" i="20"/>
  <c r="J34" i="20"/>
  <c r="K31" i="20"/>
  <c r="F31" i="20"/>
  <c r="D31" i="20"/>
  <c r="G30" i="20"/>
  <c r="H30" i="20"/>
  <c r="I30" i="20"/>
  <c r="A80" i="16"/>
  <c r="G97" i="16"/>
  <c r="K72" i="16"/>
  <c r="G91" i="16"/>
  <c r="I66" i="16"/>
  <c r="L64" i="16"/>
  <c r="B55" i="16"/>
  <c r="E29" i="20"/>
  <c r="F29" i="20"/>
  <c r="K29" i="20"/>
  <c r="G29" i="20"/>
  <c r="I29" i="20"/>
  <c r="J29" i="20"/>
  <c r="H26" i="20"/>
  <c r="F26" i="20"/>
  <c r="G27" i="20"/>
  <c r="D27" i="20"/>
  <c r="I27" i="20"/>
  <c r="J26" i="20"/>
  <c r="K27" i="20"/>
  <c r="E27" i="20"/>
  <c r="K26" i="20"/>
  <c r="E26" i="20"/>
  <c r="J24" i="20"/>
  <c r="D24" i="20"/>
  <c r="K24" i="20"/>
  <c r="H24" i="20"/>
  <c r="F24" i="20"/>
  <c r="E51" i="19"/>
  <c r="E67" i="19" s="1"/>
  <c r="E47" i="19"/>
  <c r="E63" i="19" s="1"/>
  <c r="G52" i="19"/>
  <c r="G68" i="19" s="1"/>
  <c r="H57" i="19"/>
  <c r="H73" i="19" s="1"/>
  <c r="I89" i="16"/>
  <c r="J70" i="16"/>
  <c r="I86" i="16"/>
  <c r="L62" i="16"/>
  <c r="G58" i="19"/>
  <c r="G74" i="19" s="1"/>
  <c r="Q25" i="19"/>
  <c r="G49" i="19"/>
  <c r="G65" i="19" s="1"/>
  <c r="J55" i="19"/>
  <c r="J71" i="19" s="1"/>
  <c r="L71" i="16"/>
  <c r="B43" i="16"/>
  <c r="B25" i="19"/>
  <c r="J98" i="16"/>
  <c r="K73" i="16"/>
  <c r="B47" i="16"/>
  <c r="J69" i="16"/>
  <c r="B44" i="16"/>
  <c r="J88" i="16"/>
  <c r="B40" i="16"/>
  <c r="H62" i="16"/>
  <c r="B56" i="16"/>
  <c r="B54" i="16"/>
  <c r="E55" i="19"/>
  <c r="E71" i="19" s="1"/>
  <c r="G53" i="19"/>
  <c r="G69" i="19" s="1"/>
  <c r="K56" i="19"/>
  <c r="K72" i="19" s="1"/>
  <c r="G48" i="19"/>
  <c r="G64" i="19" s="1"/>
  <c r="H55" i="19"/>
  <c r="H71" i="19" s="1"/>
  <c r="K91" i="16"/>
  <c r="J95" i="16"/>
  <c r="B102" i="19"/>
  <c r="G102" i="19" s="1"/>
  <c r="E54" i="19"/>
  <c r="E70" i="19" s="1"/>
  <c r="K48" i="19"/>
  <c r="K64" i="19" s="1"/>
  <c r="B118" i="19"/>
  <c r="J118" i="19" s="1"/>
  <c r="B107" i="19"/>
  <c r="C107" i="19" s="1"/>
  <c r="E59" i="19"/>
  <c r="E75" i="19" s="1"/>
  <c r="G57" i="19"/>
  <c r="G73" i="19" s="1"/>
  <c r="K58" i="19"/>
  <c r="K74" i="19" s="1"/>
  <c r="E50" i="19"/>
  <c r="E66" i="19" s="1"/>
  <c r="J59" i="19"/>
  <c r="J75" i="19" s="1"/>
  <c r="F72" i="16"/>
  <c r="G74" i="16"/>
  <c r="M64" i="16"/>
  <c r="M89" i="16"/>
  <c r="H74" i="16"/>
  <c r="F95" i="16"/>
  <c r="B87" i="19"/>
  <c r="J87" i="19" s="1"/>
  <c r="E58" i="19"/>
  <c r="E74" i="19" s="1"/>
  <c r="G72" i="16"/>
  <c r="G68" i="16"/>
  <c r="L66" i="16"/>
  <c r="J66" i="16"/>
  <c r="H97" i="16"/>
  <c r="B59" i="16"/>
  <c r="B57" i="16"/>
  <c r="P38" i="19"/>
  <c r="B97" i="19"/>
  <c r="E97" i="19" s="1"/>
  <c r="B90" i="19"/>
  <c r="C90" i="19" s="1"/>
  <c r="B84" i="19"/>
  <c r="I84" i="19" s="1"/>
  <c r="G56" i="19"/>
  <c r="G72" i="19" s="1"/>
  <c r="J54" i="19"/>
  <c r="J70" i="19" s="1"/>
  <c r="F50" i="19"/>
  <c r="F66" i="19" s="1"/>
  <c r="B126" i="19"/>
  <c r="C126" i="19" s="1"/>
  <c r="B123" i="19"/>
  <c r="J123" i="19" s="1"/>
  <c r="B113" i="19"/>
  <c r="J113" i="19" s="1"/>
  <c r="B103" i="19"/>
  <c r="J103" i="19" s="1"/>
  <c r="F58" i="19"/>
  <c r="F74" i="19" s="1"/>
  <c r="F54" i="19"/>
  <c r="F70" i="19" s="1"/>
  <c r="I50" i="19"/>
  <c r="I66" i="19" s="1"/>
  <c r="D52" i="19"/>
  <c r="D68" i="19" s="1"/>
  <c r="L95" i="16"/>
  <c r="L98" i="16"/>
  <c r="D58" i="19"/>
  <c r="D74" i="19" s="1"/>
  <c r="H54" i="19"/>
  <c r="H70" i="19" s="1"/>
  <c r="H50" i="19"/>
  <c r="H66" i="19" s="1"/>
  <c r="A54" i="19"/>
  <c r="B124" i="19"/>
  <c r="E124" i="19" s="1"/>
  <c r="B122" i="19"/>
  <c r="J122" i="19" s="1"/>
  <c r="B117" i="19"/>
  <c r="H117" i="19" s="1"/>
  <c r="B114" i="19"/>
  <c r="J114" i="19" s="1"/>
  <c r="B98" i="19"/>
  <c r="F98" i="19" s="1"/>
  <c r="B92" i="19"/>
  <c r="C92" i="19" s="1"/>
  <c r="I58" i="19"/>
  <c r="I74" i="19" s="1"/>
  <c r="J58" i="19"/>
  <c r="J74" i="19" s="1"/>
  <c r="I54" i="19"/>
  <c r="I70" i="19" s="1"/>
  <c r="K52" i="19"/>
  <c r="K68" i="19" s="1"/>
  <c r="J50" i="19"/>
  <c r="J66" i="19" s="1"/>
  <c r="D48" i="19"/>
  <c r="D64" i="19" s="1"/>
  <c r="H72" i="16"/>
  <c r="M95" i="16"/>
  <c r="H95" i="16"/>
  <c r="J85" i="16"/>
  <c r="M62" i="16"/>
  <c r="J62" i="16"/>
  <c r="I85" i="16"/>
  <c r="K95" i="16"/>
  <c r="B39" i="16"/>
  <c r="M68" i="16"/>
  <c r="G66" i="16"/>
  <c r="G64" i="16"/>
  <c r="G98" i="16"/>
  <c r="G95" i="16"/>
  <c r="G96" i="16"/>
  <c r="H98" i="16"/>
  <c r="G75" i="16"/>
  <c r="I63" i="16"/>
  <c r="J63" i="16"/>
  <c r="F98" i="16"/>
  <c r="K67" i="16"/>
  <c r="K70" i="16"/>
  <c r="K85" i="16"/>
  <c r="L90" i="16"/>
  <c r="H67" i="16"/>
  <c r="M74" i="16"/>
  <c r="M94" i="16"/>
  <c r="H46" i="19"/>
  <c r="H62" i="19" s="1"/>
  <c r="G86" i="16"/>
  <c r="I95" i="16"/>
  <c r="M63" i="16"/>
  <c r="M72" i="16"/>
  <c r="F90" i="16"/>
  <c r="H85" i="16"/>
  <c r="I62" i="16"/>
  <c r="I72" i="16"/>
  <c r="K90" i="16"/>
  <c r="L72" i="16"/>
  <c r="B50" i="16"/>
  <c r="F70" i="16"/>
  <c r="B46" i="16"/>
  <c r="I90" i="16"/>
  <c r="J86" i="16"/>
  <c r="B58" i="16"/>
  <c r="B53" i="16"/>
  <c r="H58" i="19"/>
  <c r="H74" i="19" s="1"/>
  <c r="P34" i="19"/>
  <c r="P30" i="19"/>
  <c r="P26" i="19"/>
  <c r="A50" i="19"/>
  <c r="B36" i="19"/>
  <c r="B125" i="19"/>
  <c r="J125" i="19" s="1"/>
  <c r="B110" i="19"/>
  <c r="C110" i="19" s="1"/>
  <c r="B101" i="19"/>
  <c r="I101" i="19" s="1"/>
  <c r="B93" i="19"/>
  <c r="F93" i="19" s="1"/>
  <c r="B83" i="19"/>
  <c r="E83" i="19" s="1"/>
  <c r="D53" i="19"/>
  <c r="D69" i="19" s="1"/>
  <c r="I59" i="19"/>
  <c r="I75" i="19" s="1"/>
  <c r="I51" i="19"/>
  <c r="I67" i="19" s="1"/>
  <c r="K57" i="19"/>
  <c r="K73" i="19" s="1"/>
  <c r="K53" i="19"/>
  <c r="K69" i="19" s="1"/>
  <c r="K49" i="19"/>
  <c r="K65" i="19" s="1"/>
  <c r="E46" i="19"/>
  <c r="E62" i="19" s="1"/>
  <c r="E61" i="19" s="1"/>
  <c r="B82" i="19"/>
  <c r="D82" i="19" s="1"/>
  <c r="D46" i="19"/>
  <c r="D62" i="19" s="1"/>
  <c r="C61" i="19" s="1"/>
  <c r="G63" i="16"/>
  <c r="G88" i="16"/>
  <c r="G71" i="16"/>
  <c r="F71" i="16"/>
  <c r="M70" i="16"/>
  <c r="F67" i="16"/>
  <c r="K86" i="16"/>
  <c r="M69" i="16"/>
  <c r="H63" i="16"/>
  <c r="J67" i="16"/>
  <c r="I69" i="16"/>
  <c r="H53" i="19"/>
  <c r="H69" i="19" s="1"/>
  <c r="B46" i="19"/>
  <c r="F57" i="19"/>
  <c r="F73" i="19" s="1"/>
  <c r="B111" i="19"/>
  <c r="D111" i="19" s="1"/>
  <c r="B109" i="19"/>
  <c r="I109" i="19" s="1"/>
  <c r="B106" i="19"/>
  <c r="B105" i="19"/>
  <c r="D105" i="19" s="1"/>
  <c r="B100" i="19"/>
  <c r="D100" i="19" s="1"/>
  <c r="B94" i="19"/>
  <c r="F94" i="19" s="1"/>
  <c r="B86" i="19"/>
  <c r="D86" i="19" s="1"/>
  <c r="B85" i="19"/>
  <c r="J85" i="19" s="1"/>
  <c r="B81" i="19"/>
  <c r="E81" i="19" s="1"/>
  <c r="E57" i="19"/>
  <c r="E73" i="19" s="1"/>
  <c r="E53" i="19"/>
  <c r="E69" i="19" s="1"/>
  <c r="E49" i="19"/>
  <c r="E65" i="19" s="1"/>
  <c r="G59" i="19"/>
  <c r="G75" i="19" s="1"/>
  <c r="G55" i="19"/>
  <c r="G71" i="19" s="1"/>
  <c r="G51" i="19"/>
  <c r="G67" i="19" s="1"/>
  <c r="G47" i="19"/>
  <c r="G63" i="19" s="1"/>
  <c r="I56" i="19"/>
  <c r="I72" i="19" s="1"/>
  <c r="J56" i="19"/>
  <c r="J72" i="19" s="1"/>
  <c r="K54" i="19"/>
  <c r="K70" i="19" s="1"/>
  <c r="I52" i="19"/>
  <c r="I68" i="19" s="1"/>
  <c r="J52" i="19"/>
  <c r="J68" i="19" s="1"/>
  <c r="K50" i="19"/>
  <c r="K66" i="19" s="1"/>
  <c r="I48" i="19"/>
  <c r="I64" i="19" s="1"/>
  <c r="J48" i="19"/>
  <c r="J64" i="19" s="1"/>
  <c r="K46" i="19"/>
  <c r="K62" i="19" s="1"/>
  <c r="J46" i="19"/>
  <c r="J62" i="19" s="1"/>
  <c r="H59" i="19"/>
  <c r="H75" i="19" s="1"/>
  <c r="J47" i="19"/>
  <c r="J63" i="19" s="1"/>
  <c r="H56" i="19"/>
  <c r="H72" i="19" s="1"/>
  <c r="J51" i="19"/>
  <c r="J67" i="19" s="1"/>
  <c r="D50" i="19"/>
  <c r="D66" i="19" s="1"/>
  <c r="G89" i="16"/>
  <c r="G69" i="16"/>
  <c r="G67" i="16"/>
  <c r="J71" i="16"/>
  <c r="L70" i="16"/>
  <c r="K63" i="16"/>
  <c r="J93" i="16"/>
  <c r="L86" i="16"/>
  <c r="L93" i="16"/>
  <c r="H94" i="16"/>
  <c r="F97" i="16"/>
  <c r="F66" i="16"/>
  <c r="M73" i="16"/>
  <c r="H64" i="16"/>
  <c r="L92" i="16"/>
  <c r="L97" i="16"/>
  <c r="I97" i="16"/>
  <c r="I65" i="16"/>
  <c r="H90" i="16"/>
  <c r="M67" i="16"/>
  <c r="M90" i="16"/>
  <c r="F93" i="16"/>
  <c r="F64" i="16"/>
  <c r="B60" i="16"/>
  <c r="J53" i="19"/>
  <c r="J69" i="19" s="1"/>
  <c r="J49" i="19"/>
  <c r="J65" i="19" s="1"/>
  <c r="B28" i="19"/>
  <c r="A58" i="19"/>
  <c r="B121" i="19"/>
  <c r="G121" i="19" s="1"/>
  <c r="B112" i="19"/>
  <c r="G112" i="19" s="1"/>
  <c r="B96" i="19"/>
  <c r="J96" i="19" s="1"/>
  <c r="B89" i="19"/>
  <c r="E89" i="19" s="1"/>
  <c r="D57" i="19"/>
  <c r="D73" i="19" s="1"/>
  <c r="D49" i="19"/>
  <c r="D65" i="19" s="1"/>
  <c r="I55" i="19"/>
  <c r="I71" i="19" s="1"/>
  <c r="I47" i="19"/>
  <c r="I63" i="19" s="1"/>
  <c r="B80" i="19"/>
  <c r="K80" i="19" s="1"/>
  <c r="H47" i="19"/>
  <c r="H63" i="19" s="1"/>
  <c r="F55" i="19"/>
  <c r="F71" i="19" s="1"/>
  <c r="G93" i="16"/>
  <c r="F88" i="16"/>
  <c r="L67" i="16"/>
  <c r="K71" i="16"/>
  <c r="B128" i="19"/>
  <c r="D128" i="19" s="1"/>
  <c r="B127" i="19"/>
  <c r="H127" i="19" s="1"/>
  <c r="B120" i="19"/>
  <c r="I120" i="19" s="1"/>
  <c r="B119" i="19"/>
  <c r="C119" i="19" s="1"/>
  <c r="B116" i="19"/>
  <c r="G116" i="19" s="1"/>
  <c r="B115" i="19"/>
  <c r="K115" i="19" s="1"/>
  <c r="B108" i="19"/>
  <c r="G108" i="19" s="1"/>
  <c r="B104" i="19"/>
  <c r="J104" i="19" s="1"/>
  <c r="B99" i="19"/>
  <c r="J99" i="19" s="1"/>
  <c r="B95" i="19"/>
  <c r="K95" i="19" s="1"/>
  <c r="B91" i="19"/>
  <c r="F91" i="19" s="1"/>
  <c r="B88" i="19"/>
  <c r="D88" i="19" s="1"/>
  <c r="D59" i="19"/>
  <c r="D75" i="19" s="1"/>
  <c r="D55" i="19"/>
  <c r="D71" i="19" s="1"/>
  <c r="D51" i="19"/>
  <c r="D67" i="19" s="1"/>
  <c r="D47" i="19"/>
  <c r="D63" i="19" s="1"/>
  <c r="I57" i="19"/>
  <c r="I73" i="19" s="1"/>
  <c r="I53" i="19"/>
  <c r="I69" i="19" s="1"/>
  <c r="I49" i="19"/>
  <c r="I65" i="19" s="1"/>
  <c r="K59" i="19"/>
  <c r="K75" i="19" s="1"/>
  <c r="K55" i="19"/>
  <c r="K71" i="19" s="1"/>
  <c r="K51" i="19"/>
  <c r="K67" i="19" s="1"/>
  <c r="K47" i="19"/>
  <c r="K63" i="19" s="1"/>
  <c r="E56" i="19"/>
  <c r="E72" i="19" s="1"/>
  <c r="F56" i="19"/>
  <c r="F72" i="19" s="1"/>
  <c r="G54" i="19"/>
  <c r="G70" i="19" s="1"/>
  <c r="E52" i="19"/>
  <c r="E68" i="19" s="1"/>
  <c r="F52" i="19"/>
  <c r="F68" i="19" s="1"/>
  <c r="G50" i="19"/>
  <c r="G66" i="19" s="1"/>
  <c r="E48" i="19"/>
  <c r="E64" i="19" s="1"/>
  <c r="F48" i="19"/>
  <c r="F64" i="19" s="1"/>
  <c r="G46" i="19"/>
  <c r="G62" i="19" s="1"/>
  <c r="F46" i="19"/>
  <c r="F62" i="19" s="1"/>
  <c r="H51" i="19"/>
  <c r="H67" i="19" s="1"/>
  <c r="H48" i="19"/>
  <c r="H64" i="19" s="1"/>
  <c r="F47" i="19"/>
  <c r="F63" i="19" s="1"/>
  <c r="D54" i="19"/>
  <c r="D70" i="19" s="1"/>
  <c r="G90" i="16"/>
  <c r="G70" i="16"/>
  <c r="G73" i="16"/>
  <c r="G94" i="16"/>
  <c r="H73" i="16"/>
  <c r="F86" i="16"/>
  <c r="L63" i="16"/>
  <c r="F63" i="16"/>
  <c r="J89" i="16"/>
  <c r="M97" i="16"/>
  <c r="K94" i="16"/>
  <c r="J65" i="16"/>
  <c r="L74" i="16"/>
  <c r="B51" i="16"/>
  <c r="I67" i="16"/>
  <c r="J74" i="16"/>
  <c r="K65" i="16"/>
  <c r="K88" i="16"/>
  <c r="L88" i="16"/>
  <c r="J75" i="16"/>
  <c r="B45" i="16"/>
  <c r="H89" i="16"/>
  <c r="H65" i="16"/>
  <c r="H52" i="19"/>
  <c r="H68" i="19" s="1"/>
  <c r="B32" i="19"/>
  <c r="B59" i="19"/>
  <c r="A35" i="19"/>
  <c r="P35" i="19" s="1"/>
  <c r="A31" i="19"/>
  <c r="P31" i="19" s="1"/>
  <c r="A27" i="19"/>
  <c r="P27" i="19" s="1"/>
  <c r="A57" i="19"/>
  <c r="A53" i="19"/>
  <c r="A49" i="19"/>
  <c r="B58" i="19"/>
  <c r="B54" i="19"/>
  <c r="B50" i="19"/>
  <c r="F53" i="19"/>
  <c r="F69" i="19" s="1"/>
  <c r="F75" i="16"/>
  <c r="H68" i="16"/>
  <c r="I64" i="16"/>
  <c r="J87" i="16"/>
  <c r="I91" i="16"/>
  <c r="M98" i="16"/>
  <c r="I87" i="16"/>
  <c r="L68" i="16"/>
  <c r="K96" i="16"/>
  <c r="M71" i="16"/>
  <c r="F65" i="16"/>
  <c r="M88" i="16"/>
  <c r="K98" i="16"/>
  <c r="K64" i="16"/>
  <c r="L94" i="16"/>
  <c r="F73" i="16"/>
  <c r="I71" i="16"/>
  <c r="H69" i="16"/>
  <c r="L87" i="16"/>
  <c r="L69" i="16"/>
  <c r="B42" i="16"/>
  <c r="J68" i="16"/>
  <c r="H96" i="16"/>
  <c r="L65" i="16"/>
  <c r="J96" i="16"/>
  <c r="I98" i="16"/>
  <c r="H75" i="16"/>
  <c r="M65" i="16"/>
  <c r="B52" i="16"/>
  <c r="L73" i="16"/>
  <c r="I92" i="16"/>
  <c r="L91" i="16"/>
  <c r="H87" i="16"/>
  <c r="F59" i="19"/>
  <c r="F75" i="19" s="1"/>
  <c r="A32" i="19"/>
  <c r="A28" i="19"/>
  <c r="B37" i="19"/>
  <c r="P37" i="19" s="1"/>
  <c r="B33" i="19"/>
  <c r="P33" i="19" s="1"/>
  <c r="B29" i="19"/>
  <c r="P29" i="19" s="1"/>
  <c r="B55" i="19"/>
  <c r="B51" i="19"/>
  <c r="B47" i="19"/>
  <c r="B48" i="16"/>
  <c r="M87" i="16"/>
  <c r="I94" i="16"/>
  <c r="M91" i="16"/>
  <c r="I68" i="16"/>
  <c r="F96" i="16"/>
  <c r="I96" i="16"/>
  <c r="K87" i="16"/>
  <c r="F69" i="16"/>
  <c r="F74" i="16"/>
  <c r="F92" i="16"/>
  <c r="F89" i="16"/>
  <c r="M96" i="16"/>
  <c r="K92" i="16"/>
  <c r="J72" i="16"/>
  <c r="M75" i="16"/>
  <c r="K97" i="16"/>
  <c r="J64" i="16"/>
  <c r="J97" i="16"/>
  <c r="M93" i="16"/>
  <c r="H86" i="16"/>
  <c r="M66" i="16"/>
  <c r="I73" i="16"/>
  <c r="H66" i="16"/>
  <c r="K66" i="16"/>
  <c r="M86" i="16"/>
  <c r="L85" i="16"/>
  <c r="K89" i="16"/>
  <c r="B49" i="16"/>
  <c r="I75" i="16"/>
  <c r="K62" i="16"/>
  <c r="I74" i="16"/>
  <c r="H71" i="16"/>
  <c r="K68" i="16"/>
  <c r="I88" i="16"/>
  <c r="H92" i="16"/>
  <c r="M92" i="16"/>
  <c r="H88" i="16"/>
  <c r="L75" i="16"/>
  <c r="M85" i="16"/>
  <c r="K74" i="16"/>
  <c r="K93" i="16"/>
  <c r="J90" i="16"/>
  <c r="L89" i="16"/>
  <c r="H49" i="19"/>
  <c r="H65" i="19" s="1"/>
  <c r="J57" i="19"/>
  <c r="J73" i="19" s="1"/>
  <c r="A59" i="19"/>
  <c r="A55" i="19"/>
  <c r="A51" i="19"/>
  <c r="A47" i="19"/>
  <c r="B56" i="19"/>
  <c r="B52" i="19"/>
  <c r="B48" i="19"/>
  <c r="F94" i="16"/>
  <c r="H91" i="16"/>
  <c r="J91" i="16"/>
  <c r="J73" i="16"/>
  <c r="J94" i="16"/>
  <c r="F68" i="16"/>
  <c r="F87" i="16"/>
  <c r="L96" i="16"/>
  <c r="G87" i="16"/>
  <c r="K75" i="16"/>
  <c r="F91" i="16"/>
  <c r="K69" i="16"/>
  <c r="G92" i="16"/>
  <c r="J92" i="16"/>
  <c r="B41" i="16"/>
  <c r="D56" i="19"/>
  <c r="D72" i="19" s="1"/>
  <c r="F49" i="19"/>
  <c r="F65" i="19" s="1"/>
  <c r="A110" i="16"/>
  <c r="L113" i="16" l="1"/>
  <c r="I113" i="16"/>
  <c r="M113" i="16"/>
  <c r="F113" i="16"/>
  <c r="J113" i="16"/>
  <c r="K113" i="16"/>
  <c r="E41" i="20"/>
  <c r="E46" i="20"/>
  <c r="N24" i="16"/>
  <c r="N25" i="16" s="1"/>
  <c r="N31" i="16"/>
  <c r="N30" i="16"/>
  <c r="N29" i="16"/>
  <c r="N27" i="16"/>
  <c r="N26" i="16"/>
  <c r="F29" i="16"/>
  <c r="A29" i="16" s="1"/>
  <c r="F31" i="16"/>
  <c r="A31" i="16" s="1"/>
  <c r="C113" i="16"/>
  <c r="A28" i="16"/>
  <c r="V26" i="16"/>
  <c r="V24" i="16"/>
  <c r="V25" i="16" s="1"/>
  <c r="V30" i="16"/>
  <c r="V27" i="16"/>
  <c r="V29" i="16"/>
  <c r="V31" i="16"/>
  <c r="J29" i="16"/>
  <c r="J31" i="16" s="1"/>
  <c r="H113" i="16"/>
  <c r="C114" i="16"/>
  <c r="E114" i="16"/>
  <c r="D115" i="16"/>
  <c r="R26" i="16"/>
  <c r="R31" i="16"/>
  <c r="R27" i="16"/>
  <c r="R24" i="16"/>
  <c r="R25" i="16" s="1"/>
  <c r="R30" i="16"/>
  <c r="R29" i="16"/>
  <c r="A102" i="16"/>
  <c r="G113" i="16"/>
  <c r="P25" i="19"/>
  <c r="C83" i="19"/>
  <c r="K56" i="20"/>
  <c r="K72" i="20" s="1"/>
  <c r="K40" i="20"/>
  <c r="E58" i="20"/>
  <c r="E74" i="20" s="1"/>
  <c r="E42" i="20"/>
  <c r="F58" i="20"/>
  <c r="F74" i="20" s="1"/>
  <c r="F42" i="20"/>
  <c r="F61" i="20"/>
  <c r="F77" i="20" s="1"/>
  <c r="F45" i="20"/>
  <c r="J66" i="20"/>
  <c r="J82" i="20" s="1"/>
  <c r="J50" i="20"/>
  <c r="H66" i="20"/>
  <c r="H82" i="20" s="1"/>
  <c r="H50" i="20"/>
  <c r="H67" i="20"/>
  <c r="H83" i="20" s="1"/>
  <c r="H51" i="20"/>
  <c r="H56" i="20"/>
  <c r="H72" i="20" s="1"/>
  <c r="H40" i="20"/>
  <c r="G59" i="20"/>
  <c r="G75" i="20" s="1"/>
  <c r="G43" i="20"/>
  <c r="K61" i="20"/>
  <c r="K77" i="20" s="1"/>
  <c r="K45" i="20"/>
  <c r="K47" i="20"/>
  <c r="K63" i="20"/>
  <c r="K79" i="20" s="1"/>
  <c r="K66" i="20"/>
  <c r="K82" i="20" s="1"/>
  <c r="K50" i="20"/>
  <c r="D45" i="20"/>
  <c r="D61" i="20"/>
  <c r="D77" i="20" s="1"/>
  <c r="H68" i="20"/>
  <c r="H84" i="20" s="1"/>
  <c r="H52" i="20"/>
  <c r="F56" i="20"/>
  <c r="F72" i="20" s="1"/>
  <c r="F40" i="20"/>
  <c r="J56" i="20"/>
  <c r="J72" i="20" s="1"/>
  <c r="J40" i="20"/>
  <c r="E59" i="20"/>
  <c r="E75" i="20" s="1"/>
  <c r="E43" i="20"/>
  <c r="D59" i="20"/>
  <c r="D75" i="20" s="1"/>
  <c r="D43" i="20"/>
  <c r="G61" i="20"/>
  <c r="G77" i="20" s="1"/>
  <c r="G45" i="20"/>
  <c r="I62" i="20"/>
  <c r="I78" i="20" s="1"/>
  <c r="I46" i="20"/>
  <c r="F63" i="20"/>
  <c r="F79" i="20" s="1"/>
  <c r="F47" i="20"/>
  <c r="J67" i="20"/>
  <c r="J83" i="20" s="1"/>
  <c r="J51" i="20"/>
  <c r="F66" i="20"/>
  <c r="F82" i="20" s="1"/>
  <c r="F50" i="20"/>
  <c r="E66" i="20"/>
  <c r="E82" i="20" s="1"/>
  <c r="E50" i="20"/>
  <c r="D64" i="20"/>
  <c r="D80" i="20" s="1"/>
  <c r="D48" i="20"/>
  <c r="H63" i="20"/>
  <c r="H79" i="20" s="1"/>
  <c r="H47" i="20"/>
  <c r="I60" i="20"/>
  <c r="I76" i="20" s="1"/>
  <c r="I44" i="20"/>
  <c r="E63" i="20"/>
  <c r="E79" i="20" s="1"/>
  <c r="E47" i="20"/>
  <c r="H65" i="20"/>
  <c r="H81" i="20" s="1"/>
  <c r="H49" i="20"/>
  <c r="A67" i="16"/>
  <c r="A90" i="16" s="1"/>
  <c r="J58" i="20"/>
  <c r="J74" i="20" s="1"/>
  <c r="J42" i="20"/>
  <c r="J61" i="20"/>
  <c r="J77" i="20" s="1"/>
  <c r="J45" i="20"/>
  <c r="G62" i="20"/>
  <c r="G78" i="20" s="1"/>
  <c r="G46" i="20"/>
  <c r="I66" i="20"/>
  <c r="I82" i="20" s="1"/>
  <c r="I50" i="20"/>
  <c r="E60" i="20"/>
  <c r="E76" i="20" s="1"/>
  <c r="E44" i="20"/>
  <c r="H59" i="20"/>
  <c r="H75" i="20" s="1"/>
  <c r="H43" i="20"/>
  <c r="H57" i="20"/>
  <c r="H73" i="20" s="1"/>
  <c r="H41" i="20"/>
  <c r="D62" i="20"/>
  <c r="D78" i="20" s="1"/>
  <c r="D46" i="20"/>
  <c r="K43" i="20"/>
  <c r="K59" i="20"/>
  <c r="H62" i="20"/>
  <c r="H78" i="20" s="1"/>
  <c r="H46" i="20"/>
  <c r="E67" i="20"/>
  <c r="E83" i="20" s="1"/>
  <c r="E51" i="20"/>
  <c r="D58" i="20"/>
  <c r="D74" i="20" s="1"/>
  <c r="D42" i="20"/>
  <c r="H61" i="20"/>
  <c r="H77" i="20" s="1"/>
  <c r="H45" i="20"/>
  <c r="I41" i="20"/>
  <c r="I57" i="20"/>
  <c r="I73" i="20" s="1"/>
  <c r="D56" i="20"/>
  <c r="D72" i="20" s="1"/>
  <c r="D40" i="20"/>
  <c r="K58" i="20"/>
  <c r="K74" i="20" s="1"/>
  <c r="K42" i="20"/>
  <c r="I59" i="20"/>
  <c r="I75" i="20" s="1"/>
  <c r="I43" i="20"/>
  <c r="H58" i="20"/>
  <c r="H74" i="20" s="1"/>
  <c r="H42" i="20"/>
  <c r="I61" i="20"/>
  <c r="I77" i="20" s="1"/>
  <c r="I45" i="20"/>
  <c r="E61" i="20"/>
  <c r="E77" i="20" s="1"/>
  <c r="E45" i="20"/>
  <c r="D63" i="20"/>
  <c r="D79" i="20" s="1"/>
  <c r="D47" i="20"/>
  <c r="D67" i="20"/>
  <c r="D83" i="20" s="1"/>
  <c r="D51" i="20"/>
  <c r="F67" i="20"/>
  <c r="F83" i="20" s="1"/>
  <c r="F51" i="20"/>
  <c r="G66" i="20"/>
  <c r="G82" i="20" s="1"/>
  <c r="G50" i="20"/>
  <c r="D60" i="20"/>
  <c r="D76" i="20" s="1"/>
  <c r="D44" i="20"/>
  <c r="D66" i="20"/>
  <c r="D82" i="20" s="1"/>
  <c r="D50" i="20"/>
  <c r="E49" i="20"/>
  <c r="E65" i="20"/>
  <c r="E81" i="20" s="1"/>
  <c r="I68" i="20"/>
  <c r="I84" i="20" s="1"/>
  <c r="I52" i="20"/>
  <c r="D41" i="20"/>
  <c r="D57" i="20"/>
  <c r="D73" i="20" s="1"/>
  <c r="D83" i="19"/>
  <c r="K123" i="19"/>
  <c r="F61" i="19"/>
  <c r="K61" i="19"/>
  <c r="H61" i="19"/>
  <c r="J61" i="19"/>
  <c r="G61" i="19"/>
  <c r="I61" i="19"/>
  <c r="A105" i="16"/>
  <c r="A103" i="16"/>
  <c r="A73" i="16"/>
  <c r="A96" i="16" s="1"/>
  <c r="A71" i="16"/>
  <c r="A94" i="16" s="1"/>
  <c r="G113" i="19"/>
  <c r="H123" i="19"/>
  <c r="A69" i="16"/>
  <c r="A92" i="16" s="1"/>
  <c r="A68" i="16"/>
  <c r="A91" i="16" s="1"/>
  <c r="A74" i="16"/>
  <c r="A97" i="16" s="1"/>
  <c r="E85" i="19"/>
  <c r="C118" i="19"/>
  <c r="I114" i="19"/>
  <c r="A65" i="16"/>
  <c r="A88" i="16" s="1"/>
  <c r="A72" i="16"/>
  <c r="A95" i="16" s="1"/>
  <c r="A75" i="16"/>
  <c r="A98" i="16" s="1"/>
  <c r="K90" i="19"/>
  <c r="A70" i="16"/>
  <c r="A93" i="16" s="1"/>
  <c r="A66" i="16"/>
  <c r="A89" i="16" s="1"/>
  <c r="J115" i="19"/>
  <c r="A63" i="16"/>
  <c r="A86" i="16" s="1"/>
  <c r="K101" i="19"/>
  <c r="A62" i="16"/>
  <c r="A85" i="16" s="1"/>
  <c r="A64" i="16"/>
  <c r="A87" i="16" s="1"/>
  <c r="K75" i="20"/>
  <c r="G85" i="19"/>
  <c r="F83" i="19"/>
  <c r="O83" i="19" s="1"/>
  <c r="J83" i="19"/>
  <c r="J107" i="19"/>
  <c r="F102" i="19"/>
  <c r="D125" i="19"/>
  <c r="K85" i="19"/>
  <c r="F118" i="19"/>
  <c r="K122" i="19"/>
  <c r="H90" i="19"/>
  <c r="I85" i="19"/>
  <c r="H83" i="19"/>
  <c r="F114" i="19"/>
  <c r="C114" i="19"/>
  <c r="D123" i="19"/>
  <c r="H118" i="19"/>
  <c r="E118" i="19"/>
  <c r="F124" i="19"/>
  <c r="D102" i="19"/>
  <c r="F87" i="19"/>
  <c r="K113" i="19"/>
  <c r="E119" i="19"/>
  <c r="I122" i="19"/>
  <c r="I97" i="19"/>
  <c r="G124" i="19"/>
  <c r="G98" i="19"/>
  <c r="I107" i="19"/>
  <c r="I113" i="19"/>
  <c r="E122" i="19"/>
  <c r="G83" i="19"/>
  <c r="I83" i="19"/>
  <c r="F85" i="19"/>
  <c r="C87" i="19"/>
  <c r="C102" i="19"/>
  <c r="C120" i="19"/>
  <c r="E102" i="19"/>
  <c r="I98" i="19"/>
  <c r="G97" i="19"/>
  <c r="E87" i="19"/>
  <c r="H85" i="19"/>
  <c r="K83" i="19"/>
  <c r="C85" i="19"/>
  <c r="C97" i="19"/>
  <c r="G107" i="19"/>
  <c r="K125" i="19"/>
  <c r="D85" i="19"/>
  <c r="H97" i="19"/>
  <c r="D107" i="19"/>
  <c r="I102" i="19"/>
  <c r="H81" i="19"/>
  <c r="C104" i="19"/>
  <c r="I118" i="19"/>
  <c r="G123" i="19"/>
  <c r="E123" i="19"/>
  <c r="J84" i="19"/>
  <c r="G84" i="19"/>
  <c r="F123" i="19"/>
  <c r="I123" i="19"/>
  <c r="D118" i="19"/>
  <c r="D81" i="19"/>
  <c r="G118" i="19"/>
  <c r="K118" i="19"/>
  <c r="K109" i="19"/>
  <c r="C96" i="19"/>
  <c r="J121" i="19"/>
  <c r="C123" i="19"/>
  <c r="E114" i="19"/>
  <c r="K117" i="19"/>
  <c r="D87" i="19"/>
  <c r="G81" i="19"/>
  <c r="I93" i="19"/>
  <c r="J98" i="19"/>
  <c r="K124" i="19"/>
  <c r="F108" i="19"/>
  <c r="H107" i="19"/>
  <c r="E117" i="19"/>
  <c r="E107" i="19"/>
  <c r="J97" i="19"/>
  <c r="K102" i="19"/>
  <c r="K107" i="19"/>
  <c r="E113" i="19"/>
  <c r="E98" i="19"/>
  <c r="G87" i="19"/>
  <c r="K97" i="19"/>
  <c r="J102" i="19"/>
  <c r="F107" i="19"/>
  <c r="C113" i="19"/>
  <c r="F126" i="19"/>
  <c r="D113" i="19"/>
  <c r="J124" i="19"/>
  <c r="I87" i="19"/>
  <c r="K87" i="19"/>
  <c r="H102" i="19"/>
  <c r="H113" i="19"/>
  <c r="F113" i="19"/>
  <c r="H87" i="19"/>
  <c r="D103" i="19"/>
  <c r="I90" i="19"/>
  <c r="D90" i="19"/>
  <c r="H103" i="19"/>
  <c r="D104" i="19"/>
  <c r="C86" i="19"/>
  <c r="F90" i="19"/>
  <c r="C99" i="19"/>
  <c r="C103" i="19"/>
  <c r="C117" i="19"/>
  <c r="F120" i="19"/>
  <c r="G103" i="19"/>
  <c r="G117" i="19"/>
  <c r="F103" i="19"/>
  <c r="K103" i="19"/>
  <c r="H92" i="19"/>
  <c r="E90" i="19"/>
  <c r="D110" i="19"/>
  <c r="G90" i="19"/>
  <c r="D61" i="19"/>
  <c r="D94" i="19"/>
  <c r="G120" i="19"/>
  <c r="K94" i="19"/>
  <c r="F117" i="19"/>
  <c r="J117" i="19"/>
  <c r="E92" i="19"/>
  <c r="I103" i="19"/>
  <c r="J90" i="19"/>
  <c r="E103" i="19"/>
  <c r="P32" i="19"/>
  <c r="G92" i="19"/>
  <c r="G96" i="19"/>
  <c r="K108" i="19"/>
  <c r="I116" i="19"/>
  <c r="G122" i="19"/>
  <c r="C128" i="19"/>
  <c r="K105" i="19"/>
  <c r="C122" i="19"/>
  <c r="D96" i="19"/>
  <c r="K128" i="19"/>
  <c r="K84" i="19"/>
  <c r="G126" i="19"/>
  <c r="K92" i="19"/>
  <c r="C84" i="19"/>
  <c r="H126" i="19"/>
  <c r="F84" i="19"/>
  <c r="I92" i="19"/>
  <c r="H122" i="19"/>
  <c r="F97" i="19"/>
  <c r="D97" i="19"/>
  <c r="F92" i="19"/>
  <c r="I96" i="19"/>
  <c r="K126" i="19"/>
  <c r="D122" i="19"/>
  <c r="H84" i="19"/>
  <c r="D84" i="19"/>
  <c r="I126" i="19"/>
  <c r="F122" i="19"/>
  <c r="D126" i="19"/>
  <c r="F100" i="19"/>
  <c r="J110" i="19"/>
  <c r="G111" i="19"/>
  <c r="D92" i="19"/>
  <c r="E84" i="19"/>
  <c r="J126" i="19"/>
  <c r="E126" i="19"/>
  <c r="J92" i="19"/>
  <c r="K96" i="19"/>
  <c r="D114" i="19"/>
  <c r="D109" i="19"/>
  <c r="D124" i="19"/>
  <c r="C88" i="19"/>
  <c r="K99" i="19"/>
  <c r="G101" i="19"/>
  <c r="G109" i="19"/>
  <c r="F128" i="19"/>
  <c r="C109" i="19"/>
  <c r="G128" i="19"/>
  <c r="C98" i="19"/>
  <c r="K98" i="19"/>
  <c r="I117" i="19"/>
  <c r="D117" i="19"/>
  <c r="H98" i="19"/>
  <c r="J109" i="19"/>
  <c r="D121" i="19"/>
  <c r="D98" i="19"/>
  <c r="K114" i="19"/>
  <c r="C124" i="19"/>
  <c r="J128" i="19"/>
  <c r="H114" i="19"/>
  <c r="G114" i="19"/>
  <c r="H124" i="19"/>
  <c r="I124" i="19"/>
  <c r="I119" i="19"/>
  <c r="G119" i="19"/>
  <c r="J119" i="19"/>
  <c r="K119" i="19"/>
  <c r="D119" i="19"/>
  <c r="J89" i="19"/>
  <c r="G89" i="19"/>
  <c r="K89" i="19"/>
  <c r="C89" i="19"/>
  <c r="I89" i="19"/>
  <c r="J95" i="19"/>
  <c r="H95" i="19"/>
  <c r="E95" i="19"/>
  <c r="I95" i="19"/>
  <c r="F95" i="19"/>
  <c r="C112" i="19"/>
  <c r="F112" i="19"/>
  <c r="J112" i="19"/>
  <c r="K112" i="19"/>
  <c r="E112" i="19"/>
  <c r="D112" i="19"/>
  <c r="H112" i="19"/>
  <c r="C121" i="19"/>
  <c r="H121" i="19"/>
  <c r="E121" i="19"/>
  <c r="J100" i="19"/>
  <c r="I100" i="19"/>
  <c r="K100" i="19"/>
  <c r="G100" i="19"/>
  <c r="H100" i="19"/>
  <c r="C100" i="19"/>
  <c r="E100" i="19"/>
  <c r="J105" i="19"/>
  <c r="I105" i="19"/>
  <c r="G105" i="19"/>
  <c r="F105" i="19"/>
  <c r="E105" i="19"/>
  <c r="H105" i="19"/>
  <c r="C105" i="19"/>
  <c r="J111" i="19"/>
  <c r="I111" i="19"/>
  <c r="K111" i="19"/>
  <c r="F111" i="19"/>
  <c r="E111" i="19"/>
  <c r="H111" i="19"/>
  <c r="C111" i="19"/>
  <c r="E88" i="19"/>
  <c r="J88" i="19"/>
  <c r="K88" i="19"/>
  <c r="I88" i="19"/>
  <c r="G88" i="19"/>
  <c r="H88" i="19"/>
  <c r="F88" i="19"/>
  <c r="F99" i="19"/>
  <c r="D99" i="19"/>
  <c r="G99" i="19"/>
  <c r="H99" i="19"/>
  <c r="E99" i="19"/>
  <c r="I99" i="19"/>
  <c r="I108" i="19"/>
  <c r="E108" i="19"/>
  <c r="C108" i="19"/>
  <c r="H108" i="19"/>
  <c r="J108" i="19"/>
  <c r="D108" i="19"/>
  <c r="C116" i="19"/>
  <c r="F116" i="19"/>
  <c r="E116" i="19"/>
  <c r="J116" i="19"/>
  <c r="K116" i="19"/>
  <c r="D116" i="19"/>
  <c r="H116" i="19"/>
  <c r="I128" i="19"/>
  <c r="E128" i="19"/>
  <c r="H128" i="19"/>
  <c r="F96" i="19"/>
  <c r="H96" i="19"/>
  <c r="E96" i="19"/>
  <c r="F109" i="19"/>
  <c r="H109" i="19"/>
  <c r="E109" i="19"/>
  <c r="C101" i="19"/>
  <c r="F101" i="19"/>
  <c r="E101" i="19"/>
  <c r="D101" i="19"/>
  <c r="J101" i="19"/>
  <c r="H101" i="19"/>
  <c r="F119" i="19"/>
  <c r="K127" i="19"/>
  <c r="H26" i="16"/>
  <c r="H27" i="16" s="1"/>
  <c r="H24" i="16" s="1"/>
  <c r="F26" i="16"/>
  <c r="F27" i="16" s="1"/>
  <c r="F24" i="16" s="1"/>
  <c r="P28" i="19"/>
  <c r="L26" i="16"/>
  <c r="L27" i="16" s="1"/>
  <c r="L24" i="16" s="1"/>
  <c r="G26" i="16"/>
  <c r="G27" i="16" s="1"/>
  <c r="G24" i="16" s="1"/>
  <c r="K121" i="19"/>
  <c r="J26" i="16"/>
  <c r="J27" i="16" s="1"/>
  <c r="J24" i="16" s="1"/>
  <c r="I81" i="19"/>
  <c r="I112" i="19"/>
  <c r="F121" i="19"/>
  <c r="C127" i="19"/>
  <c r="D95" i="19"/>
  <c r="F81" i="19"/>
  <c r="I127" i="19"/>
  <c r="G127" i="19"/>
  <c r="J127" i="19"/>
  <c r="D127" i="19"/>
  <c r="F127" i="19"/>
  <c r="C91" i="19"/>
  <c r="J91" i="19"/>
  <c r="E91" i="19"/>
  <c r="D91" i="19"/>
  <c r="I91" i="19"/>
  <c r="H91" i="19"/>
  <c r="K91" i="19"/>
  <c r="K104" i="19"/>
  <c r="H104" i="19"/>
  <c r="E104" i="19"/>
  <c r="G104" i="19"/>
  <c r="F104" i="19"/>
  <c r="I104" i="19"/>
  <c r="C115" i="19"/>
  <c r="F115" i="19"/>
  <c r="E115" i="19"/>
  <c r="I115" i="19"/>
  <c r="H115" i="19"/>
  <c r="G115" i="19"/>
  <c r="D115" i="19"/>
  <c r="J120" i="19"/>
  <c r="K120" i="19"/>
  <c r="H120" i="19"/>
  <c r="E120" i="19"/>
  <c r="D120" i="19"/>
  <c r="J80" i="19"/>
  <c r="E80" i="19"/>
  <c r="C80" i="19"/>
  <c r="H80" i="19"/>
  <c r="F80" i="19"/>
  <c r="I80" i="19"/>
  <c r="D80" i="19"/>
  <c r="G80" i="19"/>
  <c r="E82" i="19"/>
  <c r="F82" i="19"/>
  <c r="C82" i="19"/>
  <c r="G82" i="19"/>
  <c r="H82" i="19"/>
  <c r="J82" i="19"/>
  <c r="K82" i="19"/>
  <c r="I82" i="19"/>
  <c r="G125" i="19"/>
  <c r="E125" i="19"/>
  <c r="H125" i="19"/>
  <c r="I125" i="19"/>
  <c r="C125" i="19"/>
  <c r="F125" i="19"/>
  <c r="D89" i="19"/>
  <c r="C81" i="19"/>
  <c r="K81" i="19"/>
  <c r="J81" i="19"/>
  <c r="F89" i="19"/>
  <c r="G91" i="19"/>
  <c r="C95" i="19"/>
  <c r="H119" i="19"/>
  <c r="I121" i="19"/>
  <c r="E127" i="19"/>
  <c r="G95" i="19"/>
  <c r="H89" i="19"/>
  <c r="E86" i="19"/>
  <c r="F86" i="19"/>
  <c r="I86" i="19"/>
  <c r="K86" i="19"/>
  <c r="J86" i="19"/>
  <c r="G86" i="19"/>
  <c r="H86" i="19"/>
  <c r="J94" i="19"/>
  <c r="G94" i="19"/>
  <c r="I94" i="19"/>
  <c r="C94" i="19"/>
  <c r="E94" i="19"/>
  <c r="H94" i="19"/>
  <c r="I106" i="19"/>
  <c r="F106" i="19"/>
  <c r="K106" i="19"/>
  <c r="D106" i="19"/>
  <c r="C106" i="19"/>
  <c r="E106" i="19"/>
  <c r="H106" i="19"/>
  <c r="J106" i="19"/>
  <c r="G106" i="19"/>
  <c r="C93" i="19"/>
  <c r="E93" i="19"/>
  <c r="D93" i="19"/>
  <c r="J93" i="19"/>
  <c r="K93" i="19"/>
  <c r="G93" i="19"/>
  <c r="H93" i="19"/>
  <c r="G110" i="19"/>
  <c r="H110" i="19"/>
  <c r="E110" i="19"/>
  <c r="I110" i="19"/>
  <c r="K110" i="19"/>
  <c r="F110" i="19"/>
  <c r="K26" i="16"/>
  <c r="K27" i="16" s="1"/>
  <c r="K24" i="16" s="1"/>
  <c r="M26" i="16"/>
  <c r="I26" i="16"/>
  <c r="I27" i="16" s="1"/>
  <c r="I24" i="16" s="1"/>
  <c r="A113" i="16"/>
  <c r="D116" i="16" l="1"/>
  <c r="E115" i="16"/>
  <c r="L114" i="16"/>
  <c r="J114" i="16"/>
  <c r="F114" i="16"/>
  <c r="M114" i="16"/>
  <c r="K114" i="16"/>
  <c r="I114" i="16"/>
  <c r="H114" i="16"/>
  <c r="G114" i="16"/>
  <c r="O86" i="19"/>
  <c r="O88" i="19"/>
  <c r="O84" i="19"/>
  <c r="O81" i="19"/>
  <c r="O82" i="19"/>
  <c r="O105" i="19"/>
  <c r="O97" i="19"/>
  <c r="O89" i="19"/>
  <c r="O109" i="19"/>
  <c r="O85" i="19"/>
  <c r="O96" i="19"/>
  <c r="O128" i="19"/>
  <c r="O124" i="19"/>
  <c r="O111" i="19"/>
  <c r="O100" i="19"/>
  <c r="O103" i="19"/>
  <c r="O125" i="19"/>
  <c r="O110" i="19"/>
  <c r="O127" i="19"/>
  <c r="O101" i="19"/>
  <c r="O112" i="19"/>
  <c r="O90" i="19"/>
  <c r="O122" i="19"/>
  <c r="O116" i="19"/>
  <c r="O107" i="19"/>
  <c r="O93" i="19"/>
  <c r="O94" i="19"/>
  <c r="O80" i="19"/>
  <c r="O91" i="19"/>
  <c r="O99" i="19"/>
  <c r="O106" i="19"/>
  <c r="O113" i="19"/>
  <c r="O118" i="19"/>
  <c r="O104" i="19"/>
  <c r="O108" i="19"/>
  <c r="O121" i="19"/>
  <c r="O95" i="19"/>
  <c r="O126" i="19"/>
  <c r="O92" i="19"/>
  <c r="O98" i="19"/>
  <c r="O123" i="19"/>
  <c r="O119" i="19"/>
  <c r="O114" i="19"/>
  <c r="O87" i="19"/>
  <c r="O120" i="19"/>
  <c r="O115" i="19"/>
  <c r="O117" i="19"/>
  <c r="O102" i="19"/>
  <c r="I30" i="16"/>
  <c r="I25" i="16"/>
  <c r="F25" i="16"/>
  <c r="F30" i="16"/>
  <c r="K25" i="16"/>
  <c r="K30" i="16"/>
  <c r="M27" i="16"/>
  <c r="A26" i="16"/>
  <c r="J30" i="16"/>
  <c r="J25" i="16"/>
  <c r="H30" i="16"/>
  <c r="H25" i="16"/>
  <c r="L30" i="16"/>
  <c r="L25" i="16"/>
  <c r="G25" i="16"/>
  <c r="G30" i="16"/>
  <c r="D26" i="16"/>
  <c r="A114" i="16"/>
  <c r="L115" i="16" l="1"/>
  <c r="I115" i="16"/>
  <c r="J115" i="16"/>
  <c r="F115" i="16"/>
  <c r="M115" i="16"/>
  <c r="K115" i="16"/>
  <c r="G115" i="16"/>
  <c r="H115" i="16"/>
  <c r="E116" i="16"/>
  <c r="D117" i="16"/>
  <c r="C115" i="16"/>
  <c r="A27" i="16"/>
  <c r="M24" i="16"/>
  <c r="A115" i="16"/>
  <c r="J116" i="16" l="1"/>
  <c r="M116" i="16"/>
  <c r="I116" i="16"/>
  <c r="L116" i="16"/>
  <c r="G116" i="16"/>
  <c r="K116" i="16"/>
  <c r="F116" i="16"/>
  <c r="H116" i="16"/>
  <c r="D118" i="16"/>
  <c r="E117" i="16"/>
  <c r="C116" i="16"/>
  <c r="M25" i="16"/>
  <c r="A25" i="16" s="1"/>
  <c r="A24" i="16"/>
  <c r="M30" i="16"/>
  <c r="A30" i="16" s="1"/>
  <c r="H6" i="16" s="1"/>
  <c r="A116" i="16"/>
  <c r="J117" i="16" l="1"/>
  <c r="M117" i="16"/>
  <c r="L117" i="16"/>
  <c r="I117" i="16"/>
  <c r="F117" i="16"/>
  <c r="K117" i="16"/>
  <c r="G117" i="16"/>
  <c r="H117" i="16"/>
  <c r="C117" i="16"/>
  <c r="E118" i="16"/>
  <c r="C118" i="16" s="1"/>
  <c r="D119" i="16"/>
  <c r="A117" i="16"/>
  <c r="E119" i="16" l="1"/>
  <c r="D120" i="16"/>
  <c r="J118" i="16"/>
  <c r="L118" i="16"/>
  <c r="F118" i="16"/>
  <c r="I118" i="16"/>
  <c r="K118" i="16"/>
  <c r="G118" i="16"/>
  <c r="M118" i="16"/>
  <c r="H118" i="16"/>
  <c r="A118" i="16"/>
  <c r="M119" i="16" l="1"/>
  <c r="I119" i="16"/>
  <c r="L119" i="16"/>
  <c r="F119" i="16"/>
  <c r="K119" i="16"/>
  <c r="J119" i="16"/>
  <c r="H119" i="16"/>
  <c r="G119" i="16"/>
  <c r="C119" i="16"/>
  <c r="D121" i="16"/>
  <c r="C120" i="16"/>
  <c r="E120" i="16"/>
  <c r="A119" i="16"/>
  <c r="E121" i="16" l="1"/>
  <c r="D122" i="16"/>
  <c r="C121" i="16"/>
  <c r="J120" i="16"/>
  <c r="L120" i="16"/>
  <c r="K120" i="16"/>
  <c r="F120" i="16"/>
  <c r="I120" i="16"/>
  <c r="M120" i="16"/>
  <c r="H120" i="16"/>
  <c r="G120" i="16"/>
  <c r="A120" i="16"/>
  <c r="E122" i="16" l="1"/>
  <c r="D123" i="16"/>
  <c r="I121" i="16"/>
  <c r="L121" i="16"/>
  <c r="J121" i="16"/>
  <c r="K121" i="16"/>
  <c r="F121" i="16"/>
  <c r="G121" i="16"/>
  <c r="M121" i="16"/>
  <c r="H121" i="16"/>
  <c r="A121" i="16"/>
  <c r="I122" i="16" l="1"/>
  <c r="J122" i="16"/>
  <c r="K122" i="16"/>
  <c r="L122" i="16"/>
  <c r="F122" i="16"/>
  <c r="M122" i="16"/>
  <c r="H122" i="16"/>
  <c r="G122" i="16"/>
  <c r="C123" i="16"/>
  <c r="E123" i="16"/>
  <c r="D124" i="16"/>
  <c r="C122" i="16"/>
  <c r="A122" i="16"/>
  <c r="D125" i="16" l="1"/>
  <c r="E124" i="16"/>
  <c r="C124" i="16"/>
  <c r="L123" i="16"/>
  <c r="M123" i="16"/>
  <c r="J123" i="16"/>
  <c r="I123" i="16"/>
  <c r="K123" i="16"/>
  <c r="F123" i="16"/>
  <c r="G123" i="16"/>
  <c r="H123" i="16"/>
  <c r="A123" i="16"/>
  <c r="J124" i="16" l="1"/>
  <c r="L124" i="16"/>
  <c r="I124" i="16"/>
  <c r="M124" i="16"/>
  <c r="K124" i="16"/>
  <c r="G124" i="16"/>
  <c r="H124" i="16"/>
  <c r="F124" i="16"/>
  <c r="D126" i="16"/>
  <c r="E125" i="16"/>
  <c r="A124" i="16"/>
  <c r="I125" i="16" l="1"/>
  <c r="F125" i="16"/>
  <c r="L125" i="16"/>
  <c r="M125" i="16"/>
  <c r="J125" i="16"/>
  <c r="G125" i="16"/>
  <c r="K125" i="16"/>
  <c r="H125" i="16"/>
  <c r="C125" i="16"/>
  <c r="E126" i="16"/>
  <c r="D127" i="16"/>
  <c r="A125" i="16"/>
  <c r="D128" i="16" l="1"/>
  <c r="E127" i="16"/>
  <c r="C127" i="16"/>
  <c r="I126" i="16"/>
  <c r="L126" i="16"/>
  <c r="J126" i="16"/>
  <c r="M126" i="16"/>
  <c r="F126" i="16"/>
  <c r="K126" i="16"/>
  <c r="G126" i="16"/>
  <c r="H126" i="16"/>
  <c r="C126" i="16"/>
  <c r="A126" i="16"/>
  <c r="D129" i="16" l="1"/>
  <c r="E128" i="16"/>
  <c r="I127" i="16"/>
  <c r="L127" i="16"/>
  <c r="J127" i="16"/>
  <c r="M127" i="16"/>
  <c r="K127" i="16"/>
  <c r="G127" i="16"/>
  <c r="F127" i="16"/>
  <c r="H127" i="16"/>
  <c r="A127" i="16"/>
  <c r="L128" i="16" l="1"/>
  <c r="M128" i="16"/>
  <c r="J128" i="16"/>
  <c r="F128" i="16"/>
  <c r="K128" i="16"/>
  <c r="I128" i="16"/>
  <c r="G128" i="16"/>
  <c r="H128" i="16"/>
  <c r="C128" i="16"/>
  <c r="D130" i="16"/>
  <c r="E129" i="16"/>
  <c r="A128" i="16"/>
  <c r="J129" i="16" l="1"/>
  <c r="K129" i="16"/>
  <c r="M129" i="16"/>
  <c r="G129" i="16"/>
  <c r="L129" i="16"/>
  <c r="F129" i="16"/>
  <c r="I129" i="16"/>
  <c r="H129" i="16"/>
  <c r="C130" i="16"/>
  <c r="D131" i="16"/>
  <c r="E130" i="16"/>
  <c r="C129" i="16"/>
  <c r="A129" i="16"/>
  <c r="J130" i="16" l="1"/>
  <c r="M130" i="16"/>
  <c r="K130" i="16"/>
  <c r="F130" i="16"/>
  <c r="I130" i="16"/>
  <c r="L130" i="16"/>
  <c r="G130" i="16"/>
  <c r="H130" i="16"/>
  <c r="D132" i="16"/>
  <c r="E131" i="16"/>
  <c r="A130" i="16"/>
  <c r="D133" i="16" l="1"/>
  <c r="E132" i="16"/>
  <c r="K131" i="16"/>
  <c r="L131" i="16"/>
  <c r="I131" i="16"/>
  <c r="J131" i="16"/>
  <c r="M131" i="16"/>
  <c r="G131" i="16"/>
  <c r="F131" i="16"/>
  <c r="H131" i="16"/>
  <c r="C131" i="16"/>
  <c r="A131" i="16"/>
  <c r="D134" i="16" l="1"/>
  <c r="E133" i="16"/>
  <c r="C133" i="16"/>
  <c r="I132" i="16"/>
  <c r="J132" i="16"/>
  <c r="K132" i="16"/>
  <c r="F132" i="16"/>
  <c r="L132" i="16"/>
  <c r="M132" i="16"/>
  <c r="H132" i="16"/>
  <c r="G132" i="16"/>
  <c r="C132" i="16"/>
  <c r="A132" i="16"/>
  <c r="L133" i="16" l="1"/>
  <c r="K133" i="16"/>
  <c r="F133" i="16"/>
  <c r="J133" i="16"/>
  <c r="M133" i="16"/>
  <c r="I133" i="16"/>
  <c r="G133" i="16"/>
  <c r="H133" i="16"/>
  <c r="D135" i="16"/>
  <c r="E134" i="16"/>
  <c r="A133" i="16"/>
  <c r="L134" i="16" l="1"/>
  <c r="M134" i="16"/>
  <c r="K134" i="16"/>
  <c r="J134" i="16"/>
  <c r="G134" i="16"/>
  <c r="I134" i="16"/>
  <c r="F134" i="16"/>
  <c r="H134" i="16"/>
  <c r="C134" i="16"/>
  <c r="E135" i="16"/>
  <c r="C135" i="16"/>
  <c r="D136" i="16"/>
  <c r="A134" i="16"/>
  <c r="E136" i="16" l="1"/>
  <c r="D137" i="16"/>
  <c r="L135" i="16"/>
  <c r="M135" i="16"/>
  <c r="K135" i="16"/>
  <c r="G135" i="16"/>
  <c r="J135" i="16"/>
  <c r="I135" i="16"/>
  <c r="F135" i="16"/>
  <c r="H135" i="16"/>
  <c r="A135" i="16"/>
  <c r="L136" i="16" l="1"/>
  <c r="K136" i="16"/>
  <c r="J136" i="16"/>
  <c r="M136" i="16"/>
  <c r="F136" i="16"/>
  <c r="G136" i="16"/>
  <c r="I136" i="16"/>
  <c r="H136" i="16"/>
  <c r="E137" i="16"/>
  <c r="D138" i="16"/>
  <c r="C136" i="16"/>
  <c r="A136" i="16"/>
  <c r="L137" i="16" l="1"/>
  <c r="K137" i="16"/>
  <c r="J137" i="16"/>
  <c r="F137" i="16"/>
  <c r="M137" i="16"/>
  <c r="I137" i="16"/>
  <c r="H137" i="16"/>
  <c r="G137" i="16"/>
  <c r="E138" i="16"/>
  <c r="D139" i="16"/>
  <c r="C137" i="16"/>
  <c r="A137" i="16"/>
  <c r="D140" i="16" l="1"/>
  <c r="E139" i="16"/>
  <c r="C139" i="16"/>
  <c r="G138" i="16"/>
  <c r="K138" i="16"/>
  <c r="J138" i="16"/>
  <c r="L138" i="16"/>
  <c r="I138" i="16"/>
  <c r="M138" i="16"/>
  <c r="H138" i="16"/>
  <c r="F138" i="16"/>
  <c r="C138" i="16"/>
  <c r="A138" i="16"/>
  <c r="C140" i="16" l="1"/>
  <c r="D141" i="16"/>
  <c r="E140" i="16"/>
  <c r="L139" i="16"/>
  <c r="I139" i="16"/>
  <c r="M139" i="16"/>
  <c r="J139" i="16"/>
  <c r="F139" i="16"/>
  <c r="K139" i="16"/>
  <c r="H139" i="16"/>
  <c r="G139" i="16"/>
  <c r="A139" i="16"/>
  <c r="M140" i="16" l="1"/>
  <c r="J140" i="16"/>
  <c r="F140" i="16"/>
  <c r="I140" i="16"/>
  <c r="L140" i="16"/>
  <c r="K140" i="16"/>
  <c r="H140" i="16"/>
  <c r="G140" i="16"/>
  <c r="E141" i="16"/>
  <c r="D142" i="16"/>
  <c r="A140" i="16"/>
  <c r="L141" i="16" l="1"/>
  <c r="K141" i="16"/>
  <c r="J141" i="16"/>
  <c r="F141" i="16"/>
  <c r="M141" i="16"/>
  <c r="I141" i="16"/>
  <c r="H141" i="16"/>
  <c r="G141" i="16"/>
  <c r="C141" i="16"/>
  <c r="E142" i="16"/>
  <c r="C142" i="16"/>
  <c r="D143" i="16"/>
  <c r="A141" i="16"/>
  <c r="K142" i="16" l="1"/>
  <c r="F142" i="16"/>
  <c r="L142" i="16"/>
  <c r="I142" i="16"/>
  <c r="G142" i="16"/>
  <c r="J142" i="16"/>
  <c r="H142" i="16"/>
  <c r="M142" i="16"/>
  <c r="E143" i="16"/>
  <c r="D144" i="16"/>
  <c r="C143" i="16"/>
  <c r="A142" i="16"/>
  <c r="D145" i="16" l="1"/>
  <c r="E144" i="16"/>
  <c r="C144" i="16"/>
  <c r="I143" i="16"/>
  <c r="J143" i="16"/>
  <c r="F143" i="16"/>
  <c r="M143" i="16"/>
  <c r="L143" i="16"/>
  <c r="K143" i="16"/>
  <c r="H143" i="16"/>
  <c r="G143" i="16"/>
  <c r="A143" i="16"/>
  <c r="J144" i="16" l="1"/>
  <c r="I144" i="16"/>
  <c r="M144" i="16"/>
  <c r="G144" i="16"/>
  <c r="L144" i="16"/>
  <c r="F144" i="16"/>
  <c r="K144" i="16"/>
  <c r="H144" i="16"/>
  <c r="E145" i="16"/>
  <c r="D146" i="16"/>
  <c r="A144" i="16"/>
  <c r="M145" i="16" l="1"/>
  <c r="K145" i="16"/>
  <c r="F145" i="16"/>
  <c r="I145" i="16"/>
  <c r="J145" i="16"/>
  <c r="L145" i="16"/>
  <c r="G145" i="16"/>
  <c r="H145" i="16"/>
  <c r="C145" i="16"/>
  <c r="E146" i="16"/>
  <c r="C146" i="16"/>
  <c r="A145" i="16"/>
  <c r="K146" i="16" l="1"/>
  <c r="L146" i="16"/>
  <c r="J146" i="16"/>
  <c r="F146" i="16"/>
  <c r="G146" i="16"/>
  <c r="M146" i="16"/>
  <c r="I146" i="16"/>
  <c r="H146" i="16"/>
  <c r="A146" i="16"/>
</calcChain>
</file>

<file path=xl/comments1.xml><?xml version="1.0" encoding="utf-8"?>
<comments xmlns="http://schemas.openxmlformats.org/spreadsheetml/2006/main">
  <authors>
    <author>foppe</author>
    <author>Foppe</author>
    <author>*</author>
  </authors>
  <commentList>
    <comment ref="E4" authorId="0">
      <text>
        <r>
          <rPr>
            <b/>
            <sz val="8"/>
            <color indexed="81"/>
            <rFont val="Tahoma"/>
            <family val="2"/>
            <charset val="238"/>
          </rPr>
          <t>Plocha je stejná při výpočtu Rs a koncentrace ve vodě Cw, a proto se dá zahrnout do hodnoty optimalizovaného faktoru F</t>
        </r>
        <r>
          <rPr>
            <b/>
            <sz val="8"/>
            <color indexed="81"/>
            <rFont val="Calibri"/>
            <family val="2"/>
            <charset val="238"/>
          </rPr>
          <t>×</t>
        </r>
        <r>
          <rPr>
            <b/>
            <sz val="8"/>
            <color indexed="81"/>
            <rFont val="Tahoma"/>
            <family val="2"/>
            <charset val="238"/>
          </rPr>
          <t>A</t>
        </r>
      </text>
    </comment>
    <comment ref="C38" authorId="1">
      <text>
        <r>
          <rPr>
            <b/>
            <sz val="10"/>
            <color indexed="81"/>
            <rFont val="Tahoma"/>
            <family val="2"/>
            <charset val="238"/>
          </rPr>
          <t>Kpw a M se načítají
 z listu "SR_Kpws"</t>
        </r>
      </text>
    </comment>
    <comment ref="F84" authorId="2">
      <text>
        <r>
          <rPr>
            <sz val="9"/>
            <color indexed="81"/>
            <rFont val="Tahoma"/>
            <family val="2"/>
          </rPr>
          <t>This is for calculating the standard error in logBeta</t>
        </r>
      </text>
    </comment>
    <comment ref="D108" authorId="2">
      <text>
        <r>
          <rPr>
            <sz val="9"/>
            <color indexed="81"/>
            <rFont val="Tahoma"/>
            <family val="2"/>
          </rPr>
          <t>for plotting the fitted f line</t>
        </r>
      </text>
    </comment>
    <comment ref="F108" authorId="2">
      <text>
        <r>
          <rPr>
            <sz val="9"/>
            <color indexed="81"/>
            <rFont val="Tahoma"/>
            <family val="2"/>
          </rPr>
          <t>for plotting the fitted f line</t>
        </r>
      </text>
    </comment>
  </commentList>
</comments>
</file>

<file path=xl/comments2.xml><?xml version="1.0" encoding="utf-8"?>
<comments xmlns="http://schemas.openxmlformats.org/spreadsheetml/2006/main">
  <authors>
    <author>Tanya</author>
    <author>smedes_fe</author>
    <author>smedes</author>
  </authors>
  <commentList>
    <comment ref="M2" authorId="0">
      <text>
        <r>
          <rPr>
            <b/>
            <sz val="14"/>
            <color indexed="81"/>
            <rFont val="Tahoma"/>
            <family val="2"/>
          </rPr>
          <t>Vyplň koncentrace PRC látek do tohoto obdélníku.</t>
        </r>
        <r>
          <rPr>
            <b/>
            <sz val="10"/>
            <color indexed="81"/>
            <rFont val="Tahoma"/>
            <family val="2"/>
            <charset val="204"/>
          </rPr>
          <t xml:space="preserve">
Zkratky názvů látek v sloupci "C" musí odpovídat zkratkám uvedeným v listu  "SR_Kpw"
Jestli potřebuješ vložit více vzorků,</t>
        </r>
        <r>
          <rPr>
            <sz val="10"/>
            <color indexed="81"/>
            <rFont val="Tahoma"/>
            <family val="2"/>
            <charset val="204"/>
          </rPr>
          <t xml:space="preserve"> vlož sloupce při červené linii a pak kopíruj sloupce zleva až po modrou linii
</t>
        </r>
        <r>
          <rPr>
            <b/>
            <sz val="10"/>
            <color indexed="81"/>
            <rFont val="Tahoma"/>
            <family val="2"/>
            <charset val="204"/>
          </rPr>
          <t>Jestli potřebuješ vložit víc kontrolních vzorkovačů;</t>
        </r>
        <r>
          <rPr>
            <sz val="10"/>
            <color indexed="81"/>
            <rFont val="Tahoma"/>
            <family val="2"/>
            <charset val="204"/>
          </rPr>
          <t xml:space="preserve"> vlož sloupce mezi ně a kopíruj zleva doprava 
</t>
        </r>
        <r>
          <rPr>
            <b/>
            <sz val="10"/>
            <color indexed="81"/>
            <rFont val="Tahoma"/>
            <family val="2"/>
          </rPr>
          <t>Jestli potřebuješ vložit víc řádků!.</t>
        </r>
        <r>
          <rPr>
            <sz val="10"/>
            <color indexed="81"/>
            <rFont val="Tahoma"/>
            <family val="2"/>
            <charset val="204"/>
          </rPr>
          <t xml:space="preserve"> Vlož stejný počet řádků do středu každé jednotlivé sekce. Pak kopíruj  obsah shora nadol do jednotlivých sekcí  </t>
        </r>
      </text>
    </comment>
    <comment ref="K21" authorId="1">
      <text>
        <r>
          <rPr>
            <b/>
            <sz val="10"/>
            <color indexed="81"/>
            <rFont val="Tahoma"/>
            <family val="2"/>
            <charset val="204"/>
          </rPr>
          <t>Kopíruj tuto oblast a vlož ji (jako hodnoty )
do modré oblasti listu "Rs kalkulace Altesil MW" pro výpočet chyb</t>
        </r>
      </text>
    </comment>
    <comment ref="C61" authorId="2">
      <text>
        <r>
          <rPr>
            <b/>
            <sz val="9"/>
            <color indexed="81"/>
            <rFont val="Tahoma"/>
            <family val="2"/>
            <charset val="238"/>
          </rPr>
          <t>Sum of all squeared differences</t>
        </r>
      </text>
    </comment>
  </commentList>
</comments>
</file>

<file path=xl/comments3.xml><?xml version="1.0" encoding="utf-8"?>
<comments xmlns="http://schemas.openxmlformats.org/spreadsheetml/2006/main">
  <authors>
    <author>Tanya</author>
  </authors>
  <commentList>
    <comment ref="M2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Vyplň koncentrace ve vzorkovači (pg/vzorkovač) do tohoto obdélníku.
Názvy zkratek sloučenin musí odpovídat zkratkám uvedeným v listu  "Sr_Kpw"
Jestli potřebuješ vložit více vzorků, </t>
        </r>
        <r>
          <rPr>
            <sz val="10"/>
            <color indexed="81"/>
            <rFont val="Tahoma"/>
            <family val="2"/>
            <charset val="238"/>
          </rPr>
          <t>vlož sloupce při červené linii a pak kopíruj sloupce zleva až po modrou linii</t>
        </r>
        <r>
          <rPr>
            <b/>
            <sz val="10"/>
            <color indexed="81"/>
            <rFont val="Tahoma"/>
            <family val="2"/>
            <charset val="204"/>
          </rPr>
          <t xml:space="preserve">
Jestli potřebuješ vložit víc kontrolních vzorkovačů; </t>
        </r>
        <r>
          <rPr>
            <sz val="10"/>
            <color indexed="81"/>
            <rFont val="Tahoma"/>
            <family val="2"/>
            <charset val="238"/>
          </rPr>
          <t xml:space="preserve">vlož sloupce mezi ně a kopíruj zleva doprava </t>
        </r>
        <r>
          <rPr>
            <b/>
            <sz val="10"/>
            <color indexed="81"/>
            <rFont val="Tahoma"/>
            <family val="2"/>
            <charset val="204"/>
          </rPr>
          <t xml:space="preserve">
Jestli potřebuješ vložit víc řádků!.</t>
        </r>
        <r>
          <rPr>
            <sz val="10"/>
            <color indexed="81"/>
            <rFont val="Tahoma"/>
            <family val="2"/>
            <charset val="238"/>
          </rPr>
          <t xml:space="preserve"> Vlož stejný počet řádků do středu každé jednotlivé sekce. Pak kopíruj  obsah shora nadol do jednotlivých sekcí</t>
        </r>
      </text>
    </comment>
  </commentList>
</comments>
</file>

<file path=xl/comments4.xml><?xml version="1.0" encoding="utf-8"?>
<comments xmlns="http://schemas.openxmlformats.org/spreadsheetml/2006/main">
  <authors>
    <author>smedesf</author>
  </authors>
  <commentList>
    <comment ref="C5" authorId="0">
      <text>
        <r>
          <rPr>
            <b/>
            <sz val="8"/>
            <color indexed="81"/>
            <rFont val="Tahoma"/>
            <family val="2"/>
            <charset val="238"/>
          </rPr>
          <t>smedesf:</t>
        </r>
        <r>
          <rPr>
            <sz val="8"/>
            <color indexed="81"/>
            <rFont val="Tahoma"/>
            <family val="2"/>
            <charset val="238"/>
          </rPr>
          <t xml:space="preserve">
Guess</t>
        </r>
      </text>
    </comment>
  </commentList>
</comments>
</file>

<file path=xl/sharedStrings.xml><?xml version="1.0" encoding="utf-8"?>
<sst xmlns="http://schemas.openxmlformats.org/spreadsheetml/2006/main" count="466" uniqueCount="305">
  <si>
    <t>Rs model</t>
  </si>
  <si>
    <t>F and A (FA)</t>
  </si>
  <si>
    <t>FA</t>
  </si>
  <si>
    <t>SE FA</t>
  </si>
  <si>
    <t>sFA</t>
  </si>
  <si>
    <t>cvFA</t>
  </si>
  <si>
    <t>Optimizer SSQ</t>
  </si>
  <si>
    <t>SSQ</t>
  </si>
  <si>
    <t>sFit</t>
  </si>
  <si>
    <t>FDf</t>
  </si>
  <si>
    <t>L/d</t>
  </si>
  <si>
    <t>Rs300</t>
  </si>
  <si>
    <t>sRs</t>
  </si>
  <si>
    <t>L</t>
  </si>
  <si>
    <t>m</t>
  </si>
  <si>
    <t>t</t>
  </si>
  <si>
    <t>fexp</t>
  </si>
  <si>
    <t>logKpw</t>
  </si>
  <si>
    <t>MW</t>
  </si>
  <si>
    <t>BIP-D10</t>
  </si>
  <si>
    <t>PCB001</t>
  </si>
  <si>
    <t>PCB002</t>
  </si>
  <si>
    <t>PCB003</t>
  </si>
  <si>
    <t>PCB010</t>
  </si>
  <si>
    <t>PCB014</t>
  </si>
  <si>
    <t>PCB030</t>
  </si>
  <si>
    <t>PCB050</t>
  </si>
  <si>
    <t>PCB021</t>
  </si>
  <si>
    <t>PCB104</t>
  </si>
  <si>
    <t>PCB055</t>
  </si>
  <si>
    <t>PCB078</t>
  </si>
  <si>
    <t>PCB145</t>
  </si>
  <si>
    <t>PCB204</t>
  </si>
  <si>
    <t>d</t>
  </si>
  <si>
    <t>logKsw</t>
  </si>
  <si>
    <t>f</t>
  </si>
  <si>
    <t>Log_KOW</t>
  </si>
  <si>
    <t>sAltesil10</t>
  </si>
  <si>
    <t>BiP-D10</t>
  </si>
  <si>
    <t>HCB</t>
  </si>
  <si>
    <t>NAP</t>
  </si>
  <si>
    <t>NAP-D8</t>
  </si>
  <si>
    <t>ACY</t>
  </si>
  <si>
    <t>ACE-D10</t>
  </si>
  <si>
    <t>ACE</t>
  </si>
  <si>
    <t>FLE-D10</t>
  </si>
  <si>
    <t>FLE</t>
  </si>
  <si>
    <t>FEN-D10</t>
  </si>
  <si>
    <t>FEN</t>
  </si>
  <si>
    <t>ANT-D10</t>
  </si>
  <si>
    <t>ANT</t>
  </si>
  <si>
    <t>FLU-D10</t>
  </si>
  <si>
    <t>FLU</t>
  </si>
  <si>
    <t>PYR-D10</t>
  </si>
  <si>
    <t>PYR</t>
  </si>
  <si>
    <t>CHR-D12</t>
  </si>
  <si>
    <t>CHR</t>
  </si>
  <si>
    <t>BAA</t>
  </si>
  <si>
    <t>Pe-D12</t>
  </si>
  <si>
    <t>BEP-D12</t>
  </si>
  <si>
    <t>BAP</t>
  </si>
  <si>
    <t>BBF&amp;BKF</t>
  </si>
  <si>
    <t>BBF</t>
  </si>
  <si>
    <t>BkF</t>
  </si>
  <si>
    <t>BeP</t>
  </si>
  <si>
    <t>BGHIPE</t>
  </si>
  <si>
    <t>INP</t>
  </si>
  <si>
    <t>DBAHA</t>
  </si>
  <si>
    <t>COR-D12</t>
  </si>
  <si>
    <t>PCB004</t>
  </si>
  <si>
    <t>PCB018</t>
  </si>
  <si>
    <t>PCB028</t>
  </si>
  <si>
    <t>PCB029</t>
  </si>
  <si>
    <t>PCB031</t>
  </si>
  <si>
    <t>PCB044</t>
  </si>
  <si>
    <t>PCB047</t>
  </si>
  <si>
    <t>PCB049</t>
  </si>
  <si>
    <t>PCB052</t>
  </si>
  <si>
    <t>PCB056</t>
  </si>
  <si>
    <t>PCB066</t>
  </si>
  <si>
    <t>PCB085</t>
  </si>
  <si>
    <t>PCB087</t>
  </si>
  <si>
    <t>PCB097</t>
  </si>
  <si>
    <t>PCB099</t>
  </si>
  <si>
    <t>PCB101</t>
  </si>
  <si>
    <t>PCB105</t>
  </si>
  <si>
    <t>PCB110</t>
  </si>
  <si>
    <t>PCB118</t>
  </si>
  <si>
    <t>PCB128</t>
  </si>
  <si>
    <t>PCB137</t>
  </si>
  <si>
    <t>PCB138</t>
  </si>
  <si>
    <t>PCB141</t>
  </si>
  <si>
    <t>PCB149</t>
  </si>
  <si>
    <t>PCB151</t>
  </si>
  <si>
    <t>PCB153</t>
  </si>
  <si>
    <t>PCB155</t>
  </si>
  <si>
    <t>PCB156</t>
  </si>
  <si>
    <t>PCB170</t>
  </si>
  <si>
    <t>PCB180</t>
  </si>
  <si>
    <t>PCB187</t>
  </si>
  <si>
    <r>
      <t>f-</t>
    </r>
    <r>
      <rPr>
        <vertAlign val="subscript"/>
        <sz val="11"/>
        <color indexed="8"/>
        <rFont val="Arial"/>
        <family val="2"/>
      </rPr>
      <t>calc</t>
    </r>
  </si>
  <si>
    <r>
      <t>df</t>
    </r>
    <r>
      <rPr>
        <sz val="9"/>
        <rFont val="Arial"/>
        <family val="2"/>
      </rPr>
      <t>/dlogB</t>
    </r>
  </si>
  <si>
    <t>ID</t>
  </si>
  <si>
    <t xml:space="preserve">Booij, K., Smedes, F., 2010. An Improved Method for Estimating in Situ Sampling Rates of Nonpolar Passive Samplers. Environ. Sci. Technol. 44, 6789-6794. </t>
  </si>
  <si>
    <t xml:space="preserve">Rusina, T.P., Smedes, F., Koblizkova, M., Klanova, J., 2010. Calibration of Silicone Rubber Passive Samplers: Experimental and Modeled Relations between Sampling Rate and Compound Properties. Environ. Sci. Technol. 44, 362-367. </t>
  </si>
  <si>
    <t xml:space="preserve">Smedes, F., Geertsma, R.W., Zande, T.v.d., Booij, K., 2009. Polymer-Water Partition Coefficients of Hydrophobic Compounds for Passive Sampling: Application of Cosolvent Models for Validation. Environ. Sci. Technol. 43, 7047-7054. </t>
  </si>
  <si>
    <t>Billo, E. J. Non-linear regression using the solver. In Excel for Chemists: A Comprehensive Guide.; John Wiley &amp; Sons, Inc.: 2001, pp 223-238</t>
  </si>
  <si>
    <t>Soubor to odhad vzorkovacích rychlostí organických látek z vody do AlteSilu, průsvitného silikonového elastomeru, z  uvolňování performančních referenčních látek (PRC)</t>
  </si>
  <si>
    <t>Metodu lze použít i pro jiné typy vzorkovačů po úpravě modelu a hodnot rozdělovacích koeficientů monitorovaných látek v systému polymer-voda</t>
  </si>
  <si>
    <t>vrana@recetox.muni.cz</t>
  </si>
  <si>
    <t>Soubor byl vytvořen jako součást certifikované metody "Ověřená metodika pasivního vzorkování pro sledování polybromovaných difenyletherů a jiných hydrofobních kontaminantů ve vodním prostředí" v rámci projektu TAČR TB030MZP001 "Emergentní polutanty ve složkách životního prostředí"</t>
  </si>
  <si>
    <t xml:space="preserve">Prosíme uživatele o registraci zasláním e-mailové zprávy na níže uvedenou adresu. V zprávě uveďte své jméno a organizaci. Do předmětu zprávy uveďte RS-KALKULACE. 
</t>
  </si>
  <si>
    <t xml:space="preserve">Model použitý pro vztah mezi vzorkovací rychlostí (Rs) a molovou hmotností je navržen v publikaci: </t>
  </si>
  <si>
    <t>Hodnoty rozdělovacího koeficientu AlteSil-voda pro performanční referenční látky jsou publikovány v:</t>
  </si>
  <si>
    <t>Výpočet vzorkovací metodou nejmenších čtverců lze citovat:</t>
  </si>
  <si>
    <t>Odhad nejistot vzorkovací rychlostí je popsán:</t>
  </si>
  <si>
    <t>Data do grafů</t>
  </si>
  <si>
    <t>Výběr ID vzorku do grafu--&gt;</t>
  </si>
  <si>
    <t>Výstup modelu</t>
  </si>
  <si>
    <t>Doba expozice (d)</t>
  </si>
  <si>
    <t>Vzorkovaný objem</t>
  </si>
  <si>
    <t>Pomocný řádek</t>
  </si>
  <si>
    <t>f-naměřeno</t>
  </si>
  <si>
    <t>odhad F.A</t>
  </si>
  <si>
    <t xml:space="preserve">   Rs pro M=300</t>
  </si>
  <si>
    <t>Vzorkovač ID</t>
  </si>
  <si>
    <t>hm. vzorkovače kg</t>
  </si>
  <si>
    <t>hmotnost vz. (g)</t>
  </si>
  <si>
    <t>Rusina a kol. ES&amp;T 2010</t>
  </si>
  <si>
    <t>Smedes a kol. ES&amp;T 43_7047–7054, 2009</t>
  </si>
  <si>
    <t xml:space="preserve">reference modelu: </t>
  </si>
  <si>
    <t>optimalizovaný parametr</t>
  </si>
  <si>
    <t>hodnoty Kpw</t>
  </si>
  <si>
    <t>Metoda výpočtu</t>
  </si>
  <si>
    <t>Booij a Smedes ES&amp;T 2010</t>
  </si>
  <si>
    <t>Exp. čas (d)</t>
  </si>
  <si>
    <t>ID vzorku</t>
  </si>
  <si>
    <t>experimentální</t>
  </si>
  <si>
    <t>AlteSil</t>
  </si>
  <si>
    <t>Látka</t>
  </si>
  <si>
    <t>Molární hmotnost M</t>
  </si>
  <si>
    <t xml:space="preserve">Kpw s </t>
  </si>
  <si>
    <t>Počet stupňů volnosti Df</t>
  </si>
  <si>
    <t>Zkratka</t>
  </si>
  <si>
    <t>D10-bifenyl</t>
  </si>
  <si>
    <t>PCB1</t>
  </si>
  <si>
    <t>PCB2</t>
  </si>
  <si>
    <t>PCB3</t>
  </si>
  <si>
    <t>hexachlorbenzen</t>
  </si>
  <si>
    <t>naftalen</t>
  </si>
  <si>
    <t>D8-naftalen</t>
  </si>
  <si>
    <t>acenaftylen</t>
  </si>
  <si>
    <t>acenaften</t>
  </si>
  <si>
    <t>D10-acenaften</t>
  </si>
  <si>
    <t>D10-fluoren</t>
  </si>
  <si>
    <t>fluoren</t>
  </si>
  <si>
    <t>D10-fenantren</t>
  </si>
  <si>
    <t>fenantren</t>
  </si>
  <si>
    <t>D10-antracen</t>
  </si>
  <si>
    <t>antracen</t>
  </si>
  <si>
    <t>D10-fluoranten</t>
  </si>
  <si>
    <t>fluoranten</t>
  </si>
  <si>
    <t>D10-pyren</t>
  </si>
  <si>
    <t>pyren</t>
  </si>
  <si>
    <t>D12-chrysen</t>
  </si>
  <si>
    <t>chrrysen</t>
  </si>
  <si>
    <t>benz(a)antracen</t>
  </si>
  <si>
    <t>D12-perylen</t>
  </si>
  <si>
    <t>D12-benzo(e)pyren</t>
  </si>
  <si>
    <t>benzo(a)pyren</t>
  </si>
  <si>
    <t>benzo(b)fluoranten</t>
  </si>
  <si>
    <t>benzo(b)fluoranten+benzo(k)fluoranten</t>
  </si>
  <si>
    <t>benzo(k)fluoranten</t>
  </si>
  <si>
    <t>benzo(e)pyren</t>
  </si>
  <si>
    <t>benzo(g,h,i)perlylen</t>
  </si>
  <si>
    <t>indenopyren</t>
  </si>
  <si>
    <t>Dibenzo(a,h)anthracen</t>
  </si>
  <si>
    <t>D12-koronen</t>
  </si>
  <si>
    <t>PCB4</t>
  </si>
  <si>
    <t>PCB10</t>
  </si>
  <si>
    <t>PCB14</t>
  </si>
  <si>
    <t>PCB18</t>
  </si>
  <si>
    <t>PCB21</t>
  </si>
  <si>
    <t>PCB28</t>
  </si>
  <si>
    <t>PCB29</t>
  </si>
  <si>
    <t>PCB30</t>
  </si>
  <si>
    <t>PCB31</t>
  </si>
  <si>
    <t>PCB44</t>
  </si>
  <si>
    <t>PCB47</t>
  </si>
  <si>
    <t>PCB49</t>
  </si>
  <si>
    <t>PCB50</t>
  </si>
  <si>
    <t>PCB52</t>
  </si>
  <si>
    <t>PCB55</t>
  </si>
  <si>
    <t>PCB56</t>
  </si>
  <si>
    <t>PCB66</t>
  </si>
  <si>
    <t>PCB78</t>
  </si>
  <si>
    <t>PCB85</t>
  </si>
  <si>
    <t>PCB87</t>
  </si>
  <si>
    <t>PCB97</t>
  </si>
  <si>
    <t>PCB99</t>
  </si>
  <si>
    <t>Priklad 1</t>
  </si>
  <si>
    <t>Priklad 2</t>
  </si>
  <si>
    <t xml:space="preserve">   Vw pri MW=300</t>
  </si>
  <si>
    <t>Priklad 3</t>
  </si>
  <si>
    <t>Priklad  4</t>
  </si>
  <si>
    <t>Priklad 6</t>
  </si>
  <si>
    <t>Priklad 7</t>
  </si>
  <si>
    <t>Priklad 8</t>
  </si>
  <si>
    <t>Sample ID</t>
  </si>
  <si>
    <t>Prod Bl A</t>
  </si>
  <si>
    <t>Prod Bl B</t>
  </si>
  <si>
    <t>g</t>
  </si>
  <si>
    <t>PRCs</t>
  </si>
  <si>
    <r>
      <t>m</t>
    </r>
    <r>
      <rPr>
        <vertAlign val="subscript"/>
        <sz val="10"/>
        <rFont val="Arial"/>
        <family val="2"/>
      </rPr>
      <t>p</t>
    </r>
  </si>
  <si>
    <t>LogKpw</t>
  </si>
  <si>
    <t>M</t>
  </si>
  <si>
    <t>Amounnt</t>
  </si>
  <si>
    <t>DEQ</t>
  </si>
  <si>
    <r>
      <t xml:space="preserve">POSTUPNÁ kalkulace parametru  </t>
    </r>
    <r>
      <rPr>
        <i/>
        <sz val="10"/>
        <rFont val="Arial"/>
        <family val="2"/>
        <charset val="238"/>
      </rPr>
      <t>FA</t>
    </r>
  </si>
  <si>
    <r>
      <t>R</t>
    </r>
    <r>
      <rPr>
        <vertAlign val="subscript"/>
        <sz val="14"/>
        <color indexed="8"/>
        <rFont val="Arial"/>
        <family val="2"/>
      </rPr>
      <t>s</t>
    </r>
    <r>
      <rPr>
        <sz val="14"/>
        <color indexed="8"/>
        <rFont val="Arial"/>
        <family val="2"/>
      </rPr>
      <t xml:space="preserve"> = </t>
    </r>
    <r>
      <rPr>
        <i/>
        <sz val="14"/>
        <color indexed="8"/>
        <rFont val="Arial"/>
        <family val="2"/>
      </rPr>
      <t>F A M</t>
    </r>
    <r>
      <rPr>
        <vertAlign val="superscript"/>
        <sz val="14"/>
        <color indexed="8"/>
        <rFont val="Arial"/>
        <family val="2"/>
      </rPr>
      <t>‑0.47</t>
    </r>
  </si>
  <si>
    <t xml:space="preserve">modelová rovnice: </t>
  </si>
  <si>
    <t>Pozor! Řádky pod touto čárou obsahují data, krerá jsou potřebná pro účel kreslení grafů</t>
  </si>
  <si>
    <t>Příklad1</t>
  </si>
  <si>
    <t>Příklad 2</t>
  </si>
  <si>
    <t>ng/vzorkovač</t>
  </si>
  <si>
    <t>Expoziční doba (dny)</t>
  </si>
  <si>
    <t>Hmotnost vzorkovače (g)</t>
  </si>
  <si>
    <t>Suma čtverců rozdílu</t>
  </si>
  <si>
    <t>Zvol ID vzorku</t>
  </si>
  <si>
    <t>Kontrola1</t>
  </si>
  <si>
    <t>Kontrola2</t>
  </si>
  <si>
    <t>BDE 28</t>
  </si>
  <si>
    <t>BDE 47</t>
  </si>
  <si>
    <t>BDE 66</t>
  </si>
  <si>
    <t>BDE 100</t>
  </si>
  <si>
    <t>BDE 99</t>
  </si>
  <si>
    <t>BDE 85</t>
  </si>
  <si>
    <t>BDE 154</t>
  </si>
  <si>
    <t>BDE 153</t>
  </si>
  <si>
    <t>BDE 183</t>
  </si>
  <si>
    <t>BDE 209</t>
  </si>
  <si>
    <t>Allyl 2,4,6-tribromfenyl ether</t>
  </si>
  <si>
    <t>ATE</t>
  </si>
  <si>
    <t>2,3,5,6-Tetrabrom-p-xylen</t>
  </si>
  <si>
    <t>p-TBX</t>
  </si>
  <si>
    <t>2-Bromoallyl-2,4,6-tribromfenyl ether</t>
  </si>
  <si>
    <t>BATE</t>
  </si>
  <si>
    <t>1,2,3,4,5-Pentabrombenzen</t>
  </si>
  <si>
    <t>PBBZ</t>
  </si>
  <si>
    <t>3,4,5,6-Tetrabrom-2-chlortoluen</t>
  </si>
  <si>
    <t>TBCT</t>
  </si>
  <si>
    <t>Pentabromtoluen</t>
  </si>
  <si>
    <t>PBT</t>
  </si>
  <si>
    <t>Pentabromethylbenzen</t>
  </si>
  <si>
    <t>PBEB</t>
  </si>
  <si>
    <t>2,3-Dibrompropyl-2,4,6-tribromfenyl ether</t>
  </si>
  <si>
    <t>DPTE</t>
  </si>
  <si>
    <t>Hexabrombenzen</t>
  </si>
  <si>
    <t>HBB</t>
  </si>
  <si>
    <t>Pentabromobenzyl akrylát</t>
  </si>
  <si>
    <t>PBBA</t>
  </si>
  <si>
    <t>2-Ethylhexyl-2,3,4,5-tetrabrombenzoát</t>
  </si>
  <si>
    <t>EHTBB</t>
  </si>
  <si>
    <t>1,2-Bis(2,4,6-tribromfenoxy)ethan</t>
  </si>
  <si>
    <t>BTBPE</t>
  </si>
  <si>
    <t>Bis(2-ethyl-1-hexyl)tetrabromoftalát</t>
  </si>
  <si>
    <t>BEHTBP</t>
  </si>
  <si>
    <t>syn-Dechloran Plus</t>
  </si>
  <si>
    <t>s-DP</t>
  </si>
  <si>
    <t>anti-Dechloran Plus</t>
  </si>
  <si>
    <t>a-DP</t>
  </si>
  <si>
    <t>Dechloran Plus Mono adukt</t>
  </si>
  <si>
    <t>DPMA</t>
  </si>
  <si>
    <t>α-Tetrabromoethylcyklohexan</t>
  </si>
  <si>
    <t>aTBECH</t>
  </si>
  <si>
    <t>β-Tetrabromoethylcyklohexan</t>
  </si>
  <si>
    <t>bTBECH</t>
  </si>
  <si>
    <t>α-1,2,5,6-Tetrabromocyklooktan</t>
  </si>
  <si>
    <t>aTBCO</t>
  </si>
  <si>
    <t>β-1,2,5,6-Tetrabromocyklooktan</t>
  </si>
  <si>
    <t>bTBCO</t>
  </si>
  <si>
    <t>Hexachlorocyclopentenyl-dibromcyklooktan</t>
  </si>
  <si>
    <t>HCDBCO</t>
  </si>
  <si>
    <t>Tris(2,3-dibrompropyl)isocyanurat</t>
  </si>
  <si>
    <t>TDBP</t>
  </si>
  <si>
    <t>Zaokrouhlená výstupní data</t>
  </si>
  <si>
    <t>zaokrouhlení</t>
  </si>
  <si>
    <t>číslice</t>
  </si>
  <si>
    <t>Koncentrace v pg/l</t>
  </si>
  <si>
    <t>Koncentrace v pg/l (pikogramy na litr)</t>
  </si>
  <si>
    <r>
      <t>C</t>
    </r>
    <r>
      <rPr>
        <b/>
        <vertAlign val="subscript"/>
        <sz val="11"/>
        <rFont val="Arial"/>
        <family val="2"/>
        <charset val="238"/>
      </rPr>
      <t>W</t>
    </r>
  </si>
  <si>
    <r>
      <t>C</t>
    </r>
    <r>
      <rPr>
        <b/>
        <vertAlign val="subscript"/>
        <sz val="11"/>
        <rFont val="Arial"/>
        <family val="2"/>
        <charset val="238"/>
      </rPr>
      <t>W</t>
    </r>
    <r>
      <rPr>
        <b/>
        <sz val="11"/>
        <rFont val="Arial"/>
        <family val="2"/>
        <charset val="238"/>
      </rPr>
      <t xml:space="preserve"> zaokrouhleno</t>
    </r>
  </si>
  <si>
    <t>α-Hexabromcyklododekan</t>
  </si>
  <si>
    <t>β-Hexabromcyklododekan</t>
  </si>
  <si>
    <t>γ-Hexabromcyclododekan</t>
  </si>
  <si>
    <t>aHBCD</t>
  </si>
  <si>
    <t>bHBCD</t>
  </si>
  <si>
    <t>gHBCD</t>
  </si>
  <si>
    <t>pg/vzorkovač</t>
  </si>
  <si>
    <t>Priklad 5</t>
  </si>
  <si>
    <t>Stupeň dosažení rovnováhy (degree of equilibrium=DEQ)</t>
  </si>
  <si>
    <t>Citace: Vrana B. a kol..: Ověřená metodika pasivního vzorkování pro sledování polybromovaných difenyletherů a jiných hydrofobních kontaminantů ve vodním prostředí - certifikovaná metodika (Nmet). Masarykova univerzita, 2016</t>
  </si>
  <si>
    <t>Provozní referenční látky</t>
  </si>
  <si>
    <t xml:space="preserve">   směrodatná odchylka hodnoty Rs</t>
  </si>
  <si>
    <t>zbytková směrodatná odchylka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</si>
</sst>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00"/>
    <numFmt numFmtId="166" formatCode="0.0"/>
    <numFmt numFmtId="167" formatCode="0.000000"/>
    <numFmt numFmtId="168" formatCode="0.00000"/>
  </numFmts>
  <fonts count="83" x14ac:knownFonts="1">
    <font>
      <sz val="10"/>
      <name val="Arial"/>
    </font>
    <font>
      <sz val="10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vertAlign val="subscript"/>
      <sz val="11"/>
      <color indexed="8"/>
      <name val="Arial"/>
      <family val="2"/>
    </font>
    <font>
      <sz val="11"/>
      <name val="Arial"/>
      <family val="2"/>
    </font>
    <font>
      <sz val="11"/>
      <color indexed="4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color indexed="8"/>
      <name val="Arial"/>
      <family val="2"/>
    </font>
    <font>
      <i/>
      <sz val="9"/>
      <name val="Arial"/>
      <family val="2"/>
    </font>
    <font>
      <sz val="11"/>
      <color indexed="55"/>
      <name val="Arial"/>
      <family val="2"/>
    </font>
    <font>
      <sz val="9"/>
      <color indexed="81"/>
      <name val="Tahoma"/>
      <family val="2"/>
    </font>
    <font>
      <b/>
      <sz val="10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Arial"/>
      <family val="2"/>
    </font>
    <font>
      <sz val="9"/>
      <name val="Verdana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color indexed="10"/>
      <name val="Arial"/>
      <family val="2"/>
    </font>
    <font>
      <sz val="14"/>
      <color indexed="8"/>
      <name val="Arial"/>
      <family val="2"/>
    </font>
    <font>
      <sz val="14"/>
      <name val="Arial"/>
      <family val="2"/>
      <charset val="238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4"/>
      <color indexed="8"/>
      <name val="Calibri"/>
      <family val="2"/>
    </font>
    <font>
      <b/>
      <sz val="9"/>
      <name val="Verdana"/>
      <family val="2"/>
    </font>
    <font>
      <b/>
      <sz val="14"/>
      <name val="Arial"/>
      <family val="2"/>
    </font>
    <font>
      <sz val="10"/>
      <color indexed="55"/>
      <name val="Arial"/>
      <family val="2"/>
      <charset val="204"/>
    </font>
    <font>
      <sz val="10"/>
      <color indexed="9"/>
      <name val="Arial"/>
      <family val="2"/>
      <charset val="204"/>
    </font>
    <font>
      <sz val="11"/>
      <color indexed="55"/>
      <name val="Calibri"/>
      <family val="2"/>
    </font>
    <font>
      <b/>
      <sz val="8"/>
      <color indexed="81"/>
      <name val="Calibri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vertAlign val="subscript"/>
      <sz val="10"/>
      <name val="Arial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4"/>
      <color indexed="81"/>
      <name val="Tahoma"/>
      <family val="2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</font>
    <font>
      <b/>
      <sz val="9"/>
      <color indexed="81"/>
      <name val="Tahoma"/>
      <family val="2"/>
      <charset val="238"/>
    </font>
    <font>
      <b/>
      <sz val="10"/>
      <color indexed="10"/>
      <name val="Arial"/>
      <family val="2"/>
      <charset val="204"/>
    </font>
    <font>
      <b/>
      <sz val="11"/>
      <name val="Arial"/>
      <family val="2"/>
      <charset val="238"/>
    </font>
    <font>
      <b/>
      <sz val="12"/>
      <name val="Arial"/>
      <family val="2"/>
      <charset val="204"/>
    </font>
    <font>
      <b/>
      <sz val="11"/>
      <color indexed="10"/>
      <name val="Arial"/>
      <family val="2"/>
      <charset val="238"/>
    </font>
    <font>
      <i/>
      <sz val="10"/>
      <name val="Arial"/>
      <family val="2"/>
      <charset val="238"/>
    </font>
    <font>
      <i/>
      <sz val="14"/>
      <color indexed="8"/>
      <name val="Arial"/>
      <family val="2"/>
    </font>
    <font>
      <vertAlign val="subscript"/>
      <sz val="14"/>
      <color indexed="8"/>
      <name val="Arial"/>
      <family val="2"/>
    </font>
    <font>
      <vertAlign val="superscript"/>
      <sz val="14"/>
      <color indexed="8"/>
      <name val="Arial"/>
      <family val="2"/>
    </font>
    <font>
      <b/>
      <sz val="16"/>
      <color indexed="8"/>
      <name val="Arial"/>
      <family val="2"/>
    </font>
    <font>
      <sz val="1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vertAlign val="subscript"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1"/>
      <name val="Tahoma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14"/>
      </left>
      <right/>
      <top style="thick">
        <color indexed="14"/>
      </top>
      <bottom/>
      <diagonal/>
    </border>
    <border>
      <left/>
      <right/>
      <top style="thick">
        <color indexed="1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14"/>
      </left>
      <right/>
      <top/>
      <bottom/>
      <diagonal/>
    </border>
    <border>
      <left style="thick">
        <color indexed="14"/>
      </left>
      <right/>
      <top/>
      <bottom style="thick">
        <color indexed="14"/>
      </bottom>
      <diagonal/>
    </border>
    <border>
      <left/>
      <right/>
      <top/>
      <bottom style="thick">
        <color indexed="14"/>
      </bottom>
      <diagonal/>
    </border>
    <border>
      <left style="thick">
        <color indexed="48"/>
      </left>
      <right/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 style="medium">
        <color indexed="64"/>
      </top>
      <bottom/>
      <diagonal/>
    </border>
    <border>
      <left style="thick">
        <color rgb="FFFF0000"/>
      </left>
      <right/>
      <top/>
      <bottom style="medium">
        <color indexed="64"/>
      </bottom>
      <diagonal/>
    </border>
    <border>
      <left style="thick">
        <color rgb="FFFF0000"/>
      </left>
      <right/>
      <top style="thick">
        <color indexed="14"/>
      </top>
      <bottom/>
      <diagonal/>
    </border>
    <border>
      <left style="thick">
        <color rgb="FFFF0000"/>
      </left>
      <right/>
      <top/>
      <bottom style="thick">
        <color indexed="14"/>
      </bottom>
      <diagonal/>
    </border>
    <border>
      <left style="thick">
        <color rgb="FFFF0000"/>
      </left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/>
      <bottom/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 style="medium">
        <color indexed="64"/>
      </top>
      <bottom/>
      <diagonal/>
    </border>
    <border>
      <left/>
      <right style="thick">
        <color rgb="FF0070C0"/>
      </right>
      <top/>
      <bottom style="medium">
        <color indexed="64"/>
      </bottom>
      <diagonal/>
    </border>
    <border>
      <left/>
      <right style="thick">
        <color rgb="FF0070C0"/>
      </right>
      <top style="thick">
        <color indexed="14"/>
      </top>
      <bottom/>
      <diagonal/>
    </border>
    <border>
      <left/>
      <right style="thick">
        <color rgb="FF0070C0"/>
      </right>
      <top/>
      <bottom style="thick">
        <color indexed="14"/>
      </bottom>
      <diagonal/>
    </border>
    <border>
      <left/>
      <right style="thick">
        <color rgb="FF0070C0"/>
      </right>
      <top style="medium">
        <color indexed="64"/>
      </top>
      <bottom style="medium">
        <color indexed="64"/>
      </bottom>
      <diagonal/>
    </border>
    <border>
      <left/>
      <right style="thick">
        <color rgb="FF0070C0"/>
      </right>
      <top style="thin">
        <color indexed="64"/>
      </top>
      <bottom/>
      <diagonal/>
    </border>
    <border>
      <left/>
      <right style="thick">
        <color rgb="FF0070C0"/>
      </right>
      <top/>
      <bottom style="thin">
        <color indexed="64"/>
      </bottom>
      <diagonal/>
    </border>
    <border>
      <left style="thick">
        <color indexed="48"/>
      </left>
      <right/>
      <top style="medium">
        <color indexed="64"/>
      </top>
      <bottom/>
      <diagonal/>
    </border>
    <border>
      <left style="thick">
        <color indexed="4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/>
      <top style="thin">
        <color indexed="64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52" fillId="22" borderId="0">
      <protection hidden="1"/>
    </xf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3" borderId="0" applyNumberFormat="0" applyBorder="0" applyAlignment="0" applyProtection="0"/>
    <xf numFmtId="0" fontId="4" fillId="0" borderId="0"/>
    <xf numFmtId="0" fontId="1" fillId="0" borderId="0"/>
    <xf numFmtId="0" fontId="5" fillId="0" borderId="0"/>
    <xf numFmtId="0" fontId="5" fillId="24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77" fillId="0" borderId="0"/>
    <xf numFmtId="0" fontId="55" fillId="0" borderId="0"/>
  </cellStyleXfs>
  <cellXfs count="32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24" fillId="0" borderId="0" xfId="41" applyFont="1" applyAlignment="1">
      <alignment horizontal="left" vertical="top"/>
    </xf>
    <xf numFmtId="0" fontId="25" fillId="0" borderId="0" xfId="41" applyFont="1" applyAlignment="1">
      <alignment horizontal="right" vertical="top"/>
    </xf>
    <xf numFmtId="0" fontId="25" fillId="0" borderId="0" xfId="41" applyFont="1" applyAlignment="1">
      <alignment horizontal="left" vertical="top"/>
    </xf>
    <xf numFmtId="0" fontId="25" fillId="0" borderId="0" xfId="41" applyFont="1" applyAlignment="1">
      <alignment horizontal="center" vertical="top"/>
    </xf>
    <xf numFmtId="0" fontId="5" fillId="0" borderId="0" xfId="41"/>
    <xf numFmtId="167" fontId="25" fillId="0" borderId="0" xfId="41" applyNumberFormat="1" applyFont="1" applyAlignment="1">
      <alignment horizontal="center" vertical="top"/>
    </xf>
    <xf numFmtId="0" fontId="25" fillId="25" borderId="0" xfId="41" applyFont="1" applyFill="1" applyAlignment="1">
      <alignment horizontal="right" vertical="top"/>
    </xf>
    <xf numFmtId="167" fontId="25" fillId="0" borderId="0" xfId="41" applyNumberFormat="1" applyFont="1" applyAlignment="1">
      <alignment horizontal="right" vertical="top"/>
    </xf>
    <xf numFmtId="0" fontId="1" fillId="0" borderId="0" xfId="0" applyFont="1" applyAlignment="1">
      <alignment horizontal="left"/>
    </xf>
    <xf numFmtId="1" fontId="25" fillId="0" borderId="0" xfId="41" applyNumberFormat="1" applyFont="1" applyAlignment="1">
      <alignment horizontal="right" vertical="top"/>
    </xf>
    <xf numFmtId="0" fontId="25" fillId="0" borderId="0" xfId="41" applyFont="1" applyAlignment="1">
      <alignment horizontal="right" vertical="top" textRotation="90"/>
    </xf>
    <xf numFmtId="0" fontId="25" fillId="0" borderId="0" xfId="41" applyFont="1" applyFill="1" applyBorder="1" applyAlignment="1">
      <alignment horizontal="right" vertical="top"/>
    </xf>
    <xf numFmtId="0" fontId="24" fillId="26" borderId="10" xfId="41" applyFont="1" applyFill="1" applyBorder="1" applyAlignment="1">
      <alignment horizontal="left" vertical="top"/>
    </xf>
    <xf numFmtId="0" fontId="25" fillId="26" borderId="11" xfId="41" applyFont="1" applyFill="1" applyBorder="1" applyAlignment="1">
      <alignment horizontal="right" vertical="top"/>
    </xf>
    <xf numFmtId="0" fontId="25" fillId="27" borderId="11" xfId="41" applyFont="1" applyFill="1" applyBorder="1" applyAlignment="1">
      <alignment horizontal="right" vertical="top"/>
    </xf>
    <xf numFmtId="0" fontId="25" fillId="26" borderId="12" xfId="41" applyFont="1" applyFill="1" applyBorder="1" applyAlignment="1">
      <alignment horizontal="right" vertical="top"/>
    </xf>
    <xf numFmtId="0" fontId="25" fillId="26" borderId="13" xfId="41" applyFont="1" applyFill="1" applyBorder="1" applyAlignment="1">
      <alignment horizontal="left" vertical="top"/>
    </xf>
    <xf numFmtId="0" fontId="25" fillId="26" borderId="0" xfId="41" applyFont="1" applyFill="1" applyBorder="1" applyAlignment="1">
      <alignment horizontal="right" vertical="top"/>
    </xf>
    <xf numFmtId="166" fontId="28" fillId="0" borderId="0" xfId="41" applyNumberFormat="1" applyFont="1" applyFill="1" applyBorder="1" applyAlignment="1" applyProtection="1">
      <alignment horizontal="right" vertical="top"/>
      <protection locked="0"/>
    </xf>
    <xf numFmtId="166" fontId="28" fillId="0" borderId="14" xfId="41" applyNumberFormat="1" applyFont="1" applyFill="1" applyBorder="1" applyAlignment="1" applyProtection="1">
      <alignment horizontal="right" vertical="top"/>
      <protection locked="0"/>
    </xf>
    <xf numFmtId="165" fontId="27" fillId="28" borderId="15" xfId="41" applyNumberFormat="1" applyFont="1" applyFill="1" applyBorder="1" applyAlignment="1">
      <alignment horizontal="right" vertical="top"/>
    </xf>
    <xf numFmtId="0" fontId="25" fillId="26" borderId="13" xfId="41" applyFont="1" applyFill="1" applyBorder="1" applyAlignment="1">
      <alignment horizontal="left"/>
    </xf>
    <xf numFmtId="166" fontId="25" fillId="26" borderId="0" xfId="41" applyNumberFormat="1" applyFont="1" applyFill="1" applyBorder="1" applyAlignment="1">
      <alignment horizontal="right" vertical="top"/>
    </xf>
    <xf numFmtId="166" fontId="25" fillId="26" borderId="14" xfId="41" applyNumberFormat="1" applyFont="1" applyFill="1" applyBorder="1" applyAlignment="1">
      <alignment horizontal="right" vertical="top"/>
    </xf>
    <xf numFmtId="2" fontId="25" fillId="26" borderId="0" xfId="41" applyNumberFormat="1" applyFont="1" applyFill="1" applyBorder="1" applyAlignment="1">
      <alignment horizontal="right" vertical="top"/>
    </xf>
    <xf numFmtId="164" fontId="25" fillId="0" borderId="0" xfId="41" applyNumberFormat="1" applyFont="1" applyFill="1" applyBorder="1" applyAlignment="1" applyProtection="1">
      <alignment horizontal="left"/>
    </xf>
    <xf numFmtId="165" fontId="25" fillId="0" borderId="0" xfId="41" applyNumberFormat="1" applyFont="1" applyFill="1" applyBorder="1" applyAlignment="1" applyProtection="1">
      <alignment horizontal="right" vertical="top"/>
    </xf>
    <xf numFmtId="165" fontId="25" fillId="0" borderId="14" xfId="41" applyNumberFormat="1" applyFont="1" applyFill="1" applyBorder="1" applyAlignment="1" applyProtection="1">
      <alignment horizontal="right" vertical="top"/>
    </xf>
    <xf numFmtId="165" fontId="25" fillId="26" borderId="0" xfId="41" applyNumberFormat="1" applyFont="1" applyFill="1" applyBorder="1" applyAlignment="1">
      <alignment horizontal="right" vertical="top"/>
    </xf>
    <xf numFmtId="165" fontId="25" fillId="26" borderId="14" xfId="41" applyNumberFormat="1" applyFont="1" applyFill="1" applyBorder="1" applyAlignment="1">
      <alignment horizontal="right" vertical="top"/>
    </xf>
    <xf numFmtId="1" fontId="25" fillId="26" borderId="0" xfId="41" applyNumberFormat="1" applyFont="1" applyFill="1" applyBorder="1" applyAlignment="1">
      <alignment horizontal="right" vertical="top"/>
    </xf>
    <xf numFmtId="166" fontId="25" fillId="0" borderId="0" xfId="41" applyNumberFormat="1" applyFont="1" applyFill="1" applyBorder="1" applyAlignment="1">
      <alignment horizontal="right" vertical="top"/>
    </xf>
    <xf numFmtId="166" fontId="25" fillId="0" borderId="14" xfId="41" applyNumberFormat="1" applyFont="1" applyFill="1" applyBorder="1" applyAlignment="1">
      <alignment horizontal="right" vertical="top"/>
    </xf>
    <xf numFmtId="1" fontId="27" fillId="28" borderId="15" xfId="41" applyNumberFormat="1" applyFont="1" applyFill="1" applyBorder="1" applyAlignment="1">
      <alignment horizontal="right" vertical="top"/>
    </xf>
    <xf numFmtId="0" fontId="25" fillId="26" borderId="16" xfId="41" applyFont="1" applyFill="1" applyBorder="1"/>
    <xf numFmtId="0" fontId="25" fillId="26" borderId="17" xfId="41" applyFont="1" applyFill="1" applyBorder="1" applyAlignment="1">
      <alignment horizontal="right" vertical="top"/>
    </xf>
    <xf numFmtId="1" fontId="25" fillId="26" borderId="17" xfId="41" applyNumberFormat="1" applyFont="1" applyFill="1" applyBorder="1" applyAlignment="1">
      <alignment horizontal="right" vertical="top"/>
    </xf>
    <xf numFmtId="1" fontId="25" fillId="26" borderId="18" xfId="41" applyNumberFormat="1" applyFont="1" applyFill="1" applyBorder="1" applyAlignment="1">
      <alignment horizontal="right" vertical="top"/>
    </xf>
    <xf numFmtId="0" fontId="25" fillId="0" borderId="0" xfId="41" applyFont="1" applyFill="1" applyBorder="1"/>
    <xf numFmtId="1" fontId="25" fillId="0" borderId="0" xfId="41" applyNumberFormat="1" applyFont="1" applyFill="1" applyBorder="1" applyAlignment="1">
      <alignment horizontal="right" vertical="top"/>
    </xf>
    <xf numFmtId="0" fontId="27" fillId="28" borderId="19" xfId="41" applyFont="1" applyFill="1" applyBorder="1" applyAlignment="1">
      <alignment horizontal="right" vertical="top"/>
    </xf>
    <xf numFmtId="164" fontId="25" fillId="0" borderId="0" xfId="41" applyNumberFormat="1" applyFont="1" applyFill="1" applyAlignment="1">
      <alignment horizontal="right" vertical="top"/>
    </xf>
    <xf numFmtId="166" fontId="0" fillId="0" borderId="20" xfId="0" applyNumberFormat="1" applyBorder="1"/>
    <xf numFmtId="166" fontId="0" fillId="0" borderId="21" xfId="0" applyNumberFormat="1" applyBorder="1"/>
    <xf numFmtId="0" fontId="29" fillId="29" borderId="22" xfId="41" applyFont="1" applyFill="1" applyBorder="1" applyAlignment="1">
      <alignment horizontal="center" vertical="top"/>
    </xf>
    <xf numFmtId="0" fontId="25" fillId="29" borderId="23" xfId="41" applyFont="1" applyFill="1" applyBorder="1" applyAlignment="1">
      <alignment horizontal="right" vertical="top"/>
    </xf>
    <xf numFmtId="0" fontId="0" fillId="29" borderId="23" xfId="0" applyFill="1" applyBorder="1"/>
    <xf numFmtId="0" fontId="0" fillId="29" borderId="24" xfId="0" applyFill="1" applyBorder="1"/>
    <xf numFmtId="0" fontId="29" fillId="29" borderId="15" xfId="41" applyFont="1" applyFill="1" applyBorder="1" applyAlignment="1">
      <alignment horizontal="center" vertical="top"/>
    </xf>
    <xf numFmtId="2" fontId="30" fillId="29" borderId="0" xfId="0" applyNumberFormat="1" applyFont="1" applyFill="1" applyBorder="1" applyAlignment="1">
      <alignment horizontal="center"/>
    </xf>
    <xf numFmtId="0" fontId="25" fillId="29" borderId="0" xfId="41" applyFont="1" applyFill="1" applyBorder="1" applyAlignment="1">
      <alignment horizontal="right" vertical="top"/>
    </xf>
    <xf numFmtId="0" fontId="0" fillId="29" borderId="0" xfId="0" applyFill="1" applyBorder="1"/>
    <xf numFmtId="166" fontId="0" fillId="29" borderId="25" xfId="0" applyNumberFormat="1" applyFill="1" applyBorder="1"/>
    <xf numFmtId="0" fontId="30" fillId="29" borderId="0" xfId="0" applyFont="1" applyFill="1" applyBorder="1" applyAlignment="1">
      <alignment horizontal="center"/>
    </xf>
    <xf numFmtId="0" fontId="0" fillId="29" borderId="25" xfId="0" applyFill="1" applyBorder="1"/>
    <xf numFmtId="0" fontId="25" fillId="0" borderId="23" xfId="41" applyFont="1" applyBorder="1" applyAlignment="1">
      <alignment horizontal="right" vertical="top"/>
    </xf>
    <xf numFmtId="2" fontId="25" fillId="30" borderId="26" xfId="41" applyNumberFormat="1" applyFont="1" applyFill="1" applyBorder="1" applyAlignment="1">
      <alignment horizontal="right" vertical="top"/>
    </xf>
    <xf numFmtId="2" fontId="25" fillId="30" borderId="0" xfId="41" applyNumberFormat="1" applyFont="1" applyFill="1" applyBorder="1" applyAlignment="1" applyProtection="1">
      <alignment horizontal="center"/>
    </xf>
    <xf numFmtId="1" fontId="25" fillId="30" borderId="0" xfId="41" applyNumberFormat="1" applyFont="1" applyFill="1" applyBorder="1" applyAlignment="1" applyProtection="1">
      <alignment horizontal="center"/>
    </xf>
    <xf numFmtId="0" fontId="4" fillId="29" borderId="15" xfId="0" applyNumberFormat="1" applyFont="1" applyFill="1" applyBorder="1" applyAlignment="1" applyProtection="1">
      <alignment horizontal="center"/>
    </xf>
    <xf numFmtId="2" fontId="31" fillId="29" borderId="0" xfId="0" applyNumberFormat="1" applyFont="1" applyFill="1" applyBorder="1" applyAlignment="1">
      <alignment horizontal="center"/>
    </xf>
    <xf numFmtId="2" fontId="32" fillId="29" borderId="0" xfId="41" applyNumberFormat="1" applyFont="1" applyFill="1" applyBorder="1" applyAlignment="1">
      <alignment horizontal="center" vertical="top"/>
    </xf>
    <xf numFmtId="2" fontId="31" fillId="29" borderId="25" xfId="0" applyNumberFormat="1" applyFont="1" applyFill="1" applyBorder="1" applyAlignment="1">
      <alignment horizontal="center"/>
    </xf>
    <xf numFmtId="2" fontId="32" fillId="29" borderId="0" xfId="41" applyNumberFormat="1" applyFont="1" applyFill="1" applyBorder="1" applyAlignment="1">
      <alignment horizontal="center"/>
    </xf>
    <xf numFmtId="2" fontId="32" fillId="29" borderId="25" xfId="41" applyNumberFormat="1" applyFont="1" applyFill="1" applyBorder="1" applyAlignment="1">
      <alignment horizontal="center"/>
    </xf>
    <xf numFmtId="165" fontId="27" fillId="28" borderId="19" xfId="41" applyNumberFormat="1" applyFont="1" applyFill="1" applyBorder="1" applyAlignment="1">
      <alignment horizontal="right" vertical="top"/>
    </xf>
    <xf numFmtId="1" fontId="25" fillId="31" borderId="26" xfId="41" applyNumberFormat="1" applyFont="1" applyFill="1" applyBorder="1" applyAlignment="1">
      <alignment horizontal="right" vertical="top"/>
    </xf>
    <xf numFmtId="1" fontId="25" fillId="31" borderId="0" xfId="41" applyNumberFormat="1" applyFont="1" applyFill="1" applyBorder="1" applyAlignment="1">
      <alignment horizontal="right" vertical="top"/>
    </xf>
    <xf numFmtId="165" fontId="25" fillId="0" borderId="22" xfId="41" applyNumberFormat="1" applyFont="1" applyBorder="1" applyAlignment="1">
      <alignment horizontal="right" vertical="top"/>
    </xf>
    <xf numFmtId="165" fontId="25" fillId="0" borderId="23" xfId="41" applyNumberFormat="1" applyFont="1" applyBorder="1" applyAlignment="1">
      <alignment horizontal="right" vertical="top"/>
    </xf>
    <xf numFmtId="165" fontId="25" fillId="0" borderId="24" xfId="41" applyNumberFormat="1" applyFont="1" applyBorder="1" applyAlignment="1">
      <alignment horizontal="right" vertical="top"/>
    </xf>
    <xf numFmtId="165" fontId="25" fillId="0" borderId="25" xfId="41" applyNumberFormat="1" applyFont="1" applyBorder="1" applyAlignment="1">
      <alignment horizontal="right" vertical="top"/>
    </xf>
    <xf numFmtId="165" fontId="25" fillId="0" borderId="15" xfId="41" applyNumberFormat="1" applyFont="1" applyBorder="1" applyAlignment="1">
      <alignment horizontal="right" vertical="top"/>
    </xf>
    <xf numFmtId="165" fontId="25" fillId="0" borderId="0" xfId="41" applyNumberFormat="1" applyFont="1" applyBorder="1" applyAlignment="1">
      <alignment horizontal="right" vertical="top"/>
    </xf>
    <xf numFmtId="166" fontId="33" fillId="0" borderId="0" xfId="41" applyNumberFormat="1" applyFont="1" applyBorder="1" applyAlignment="1">
      <alignment horizontal="right" vertical="top"/>
    </xf>
    <xf numFmtId="164" fontId="27" fillId="0" borderId="0" xfId="41" applyNumberFormat="1" applyFont="1" applyBorder="1" applyAlignment="1">
      <alignment horizontal="right" vertical="top"/>
    </xf>
    <xf numFmtId="165" fontId="25" fillId="0" borderId="0" xfId="41" applyNumberFormat="1" applyFont="1" applyAlignment="1">
      <alignment horizontal="right" vertical="top"/>
    </xf>
    <xf numFmtId="167" fontId="27" fillId="0" borderId="0" xfId="41" applyNumberFormat="1" applyFont="1" applyAlignment="1">
      <alignment horizontal="right" vertical="top"/>
    </xf>
    <xf numFmtId="167" fontId="34" fillId="0" borderId="0" xfId="41" applyNumberFormat="1" applyFont="1" applyAlignment="1">
      <alignment horizontal="right" vertical="top"/>
    </xf>
    <xf numFmtId="2" fontId="25" fillId="0" borderId="0" xfId="41" applyNumberFormat="1" applyFont="1" applyAlignment="1">
      <alignment horizontal="right" vertical="top"/>
    </xf>
    <xf numFmtId="168" fontId="25" fillId="0" borderId="0" xfId="41" applyNumberFormat="1" applyFont="1" applyAlignment="1">
      <alignment horizontal="right" vertical="top"/>
    </xf>
    <xf numFmtId="166" fontId="25" fillId="0" borderId="0" xfId="41" applyNumberFormat="1" applyFont="1" applyAlignment="1">
      <alignment horizontal="right" vertical="top"/>
    </xf>
    <xf numFmtId="2" fontId="25" fillId="0" borderId="0" xfId="41" applyNumberFormat="1" applyFont="1" applyAlignment="1">
      <alignment horizontal="center" vertical="top"/>
    </xf>
    <xf numFmtId="165" fontId="0" fillId="0" borderId="0" xfId="0" applyNumberFormat="1" applyAlignment="1">
      <alignment horizontal="right"/>
    </xf>
    <xf numFmtId="0" fontId="1" fillId="0" borderId="0" xfId="40"/>
    <xf numFmtId="2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0" xfId="0" applyAlignment="1">
      <alignment vertical="top" wrapText="1"/>
    </xf>
    <xf numFmtId="0" fontId="40" fillId="0" borderId="0" xfId="0" applyFont="1" applyAlignment="1">
      <alignment vertical="top" wrapText="1"/>
    </xf>
    <xf numFmtId="0" fontId="41" fillId="0" borderId="0" xfId="0" applyFont="1" applyAlignment="1">
      <alignment vertical="top" wrapText="1"/>
    </xf>
    <xf numFmtId="0" fontId="42" fillId="0" borderId="0" xfId="0" applyFont="1" applyAlignment="1">
      <alignment vertical="top" wrapText="1"/>
    </xf>
    <xf numFmtId="0" fontId="43" fillId="0" borderId="0" xfId="0" applyFont="1" applyAlignment="1">
      <alignment vertical="top" wrapText="1"/>
    </xf>
    <xf numFmtId="0" fontId="29" fillId="0" borderId="0" xfId="41" applyFont="1" applyAlignment="1">
      <alignment horizontal="left" vertical="top"/>
    </xf>
    <xf numFmtId="0" fontId="44" fillId="0" borderId="0" xfId="41" applyFont="1" applyAlignment="1">
      <alignment horizontal="right" vertical="top"/>
    </xf>
    <xf numFmtId="0" fontId="44" fillId="0" borderId="0" xfId="41" applyFont="1" applyFill="1" applyBorder="1" applyAlignment="1">
      <alignment horizontal="right" vertical="top"/>
    </xf>
    <xf numFmtId="0" fontId="45" fillId="0" borderId="0" xfId="0" applyFont="1"/>
    <xf numFmtId="0" fontId="46" fillId="0" borderId="0" xfId="41" applyFont="1" applyAlignment="1">
      <alignment horizontal="right" vertical="top"/>
    </xf>
    <xf numFmtId="0" fontId="44" fillId="25" borderId="0" xfId="41" applyFont="1" applyFill="1" applyAlignment="1">
      <alignment horizontal="right" vertical="top"/>
    </xf>
    <xf numFmtId="0" fontId="48" fillId="0" borderId="0" xfId="41" applyFont="1"/>
    <xf numFmtId="0" fontId="47" fillId="25" borderId="27" xfId="41" applyFont="1" applyFill="1" applyBorder="1" applyAlignment="1" applyProtection="1">
      <alignment horizontal="left" vertical="top"/>
      <protection locked="0"/>
    </xf>
    <xf numFmtId="165" fontId="25" fillId="0" borderId="28" xfId="41" applyNumberFormat="1" applyFont="1" applyBorder="1" applyAlignment="1">
      <alignment horizontal="right" vertical="top"/>
    </xf>
    <xf numFmtId="165" fontId="25" fillId="0" borderId="29" xfId="41" applyNumberFormat="1" applyFont="1" applyBorder="1" applyAlignment="1">
      <alignment horizontal="right" vertical="top"/>
    </xf>
    <xf numFmtId="165" fontId="25" fillId="0" borderId="30" xfId="41" applyNumberFormat="1" applyFont="1" applyBorder="1" applyAlignment="1">
      <alignment horizontal="right" vertical="top"/>
    </xf>
    <xf numFmtId="0" fontId="49" fillId="0" borderId="0" xfId="0" applyFont="1" applyAlignment="1">
      <alignment vertical="top" wrapText="1"/>
    </xf>
    <xf numFmtId="0" fontId="50" fillId="0" borderId="0" xfId="0" applyFont="1" applyAlignment="1">
      <alignment vertical="top" wrapText="1"/>
    </xf>
    <xf numFmtId="0" fontId="15" fillId="0" borderId="0" xfId="35" applyAlignment="1" applyProtection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  <xf numFmtId="0" fontId="2" fillId="0" borderId="0" xfId="0" applyFont="1" applyBorder="1"/>
    <xf numFmtId="0" fontId="0" fillId="0" borderId="0" xfId="0" applyBorder="1"/>
    <xf numFmtId="0" fontId="51" fillId="22" borderId="0" xfId="34" applyFont="1">
      <protection hidden="1"/>
    </xf>
    <xf numFmtId="165" fontId="51" fillId="22" borderId="0" xfId="34" applyNumberFormat="1" applyFont="1" applyFill="1">
      <protection hidden="1"/>
    </xf>
    <xf numFmtId="0" fontId="53" fillId="0" borderId="0" xfId="41" applyFont="1"/>
    <xf numFmtId="0" fontId="34" fillId="0" borderId="0" xfId="41" applyFont="1" applyAlignment="1">
      <alignment horizontal="right" vertical="top"/>
    </xf>
    <xf numFmtId="166" fontId="34" fillId="0" borderId="0" xfId="41" applyNumberFormat="1" applyFont="1" applyAlignment="1">
      <alignment horizontal="right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/>
    </xf>
    <xf numFmtId="0" fontId="25" fillId="0" borderId="17" xfId="41" applyFont="1" applyFill="1" applyBorder="1" applyAlignment="1">
      <alignment horizontal="left" vertical="top"/>
    </xf>
    <xf numFmtId="0" fontId="55" fillId="0" borderId="0" xfId="0" applyFont="1" applyAlignment="1">
      <alignment horizontal="center"/>
    </xf>
    <xf numFmtId="0" fontId="55" fillId="0" borderId="0" xfId="0" applyFont="1"/>
    <xf numFmtId="0" fontId="42" fillId="0" borderId="0" xfId="0" applyFont="1"/>
    <xf numFmtId="0" fontId="55" fillId="29" borderId="23" xfId="0" applyFont="1" applyFill="1" applyBorder="1" applyAlignment="1">
      <alignment horizontal="center"/>
    </xf>
    <xf numFmtId="0" fontId="41" fillId="25" borderId="22" xfId="0" applyFont="1" applyFill="1" applyBorder="1" applyAlignment="1">
      <alignment horizontal="center"/>
    </xf>
    <xf numFmtId="0" fontId="41" fillId="25" borderId="23" xfId="0" applyFont="1" applyFill="1" applyBorder="1" applyAlignment="1">
      <alignment horizontal="center"/>
    </xf>
    <xf numFmtId="0" fontId="41" fillId="25" borderId="24" xfId="0" applyFont="1" applyFill="1" applyBorder="1"/>
    <xf numFmtId="0" fontId="0" fillId="25" borderId="15" xfId="0" applyFill="1" applyBorder="1" applyAlignment="1">
      <alignment horizontal="center"/>
    </xf>
    <xf numFmtId="166" fontId="0" fillId="25" borderId="0" xfId="0" applyNumberFormat="1" applyFill="1" applyBorder="1" applyAlignment="1">
      <alignment horizontal="center"/>
    </xf>
    <xf numFmtId="166" fontId="0" fillId="25" borderId="25" xfId="0" applyNumberFormat="1" applyFill="1" applyBorder="1" applyAlignment="1">
      <alignment horizontal="center"/>
    </xf>
    <xf numFmtId="1" fontId="0" fillId="25" borderId="0" xfId="0" applyNumberFormat="1" applyFill="1" applyBorder="1" applyAlignment="1">
      <alignment horizontal="center"/>
    </xf>
    <xf numFmtId="0" fontId="0" fillId="25" borderId="25" xfId="0" applyFill="1" applyBorder="1"/>
    <xf numFmtId="1" fontId="0" fillId="0" borderId="15" xfId="0" applyNumberFormat="1" applyBorder="1" applyAlignment="1">
      <alignment horizontal="center"/>
    </xf>
    <xf numFmtId="0" fontId="55" fillId="0" borderId="0" xfId="0" applyFont="1" applyBorder="1"/>
    <xf numFmtId="0" fontId="0" fillId="0" borderId="25" xfId="0" applyBorder="1"/>
    <xf numFmtId="0" fontId="0" fillId="28" borderId="15" xfId="0" applyFill="1" applyBorder="1" applyAlignment="1">
      <alignment horizontal="center"/>
    </xf>
    <xf numFmtId="166" fontId="0" fillId="31" borderId="0" xfId="0" applyNumberFormat="1" applyFill="1" applyBorder="1" applyAlignment="1">
      <alignment horizontal="right"/>
    </xf>
    <xf numFmtId="166" fontId="0" fillId="31" borderId="25" xfId="0" applyNumberFormat="1" applyFill="1" applyBorder="1" applyAlignment="1">
      <alignment horizontal="right"/>
    </xf>
    <xf numFmtId="0" fontId="0" fillId="28" borderId="28" xfId="0" applyFill="1" applyBorder="1" applyAlignment="1">
      <alignment horizontal="center"/>
    </xf>
    <xf numFmtId="166" fontId="0" fillId="31" borderId="29" xfId="0" applyNumberFormat="1" applyFill="1" applyBorder="1" applyAlignment="1">
      <alignment horizontal="right"/>
    </xf>
    <xf numFmtId="166" fontId="0" fillId="31" borderId="30" xfId="0" applyNumberForma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41" fillId="25" borderId="31" xfId="0" applyFont="1" applyFill="1" applyBorder="1"/>
    <xf numFmtId="0" fontId="41" fillId="25" borderId="32" xfId="0" applyFont="1" applyFill="1" applyBorder="1" applyAlignment="1">
      <alignment horizontal="center"/>
    </xf>
    <xf numFmtId="0" fontId="41" fillId="25" borderId="23" xfId="0" applyFont="1" applyFill="1" applyBorder="1"/>
    <xf numFmtId="0" fontId="56" fillId="0" borderId="33" xfId="0" applyFont="1" applyBorder="1"/>
    <xf numFmtId="0" fontId="56" fillId="0" borderId="34" xfId="0" applyFont="1" applyBorder="1"/>
    <xf numFmtId="0" fontId="57" fillId="32" borderId="35" xfId="0" applyFont="1" applyFill="1" applyBorder="1"/>
    <xf numFmtId="0" fontId="0" fillId="25" borderId="36" xfId="0" applyFill="1" applyBorder="1" applyAlignment="1">
      <alignment horizontal="center"/>
    </xf>
    <xf numFmtId="166" fontId="0" fillId="25" borderId="0" xfId="0" applyNumberFormat="1" applyFill="1" applyAlignment="1">
      <alignment horizontal="center"/>
    </xf>
    <xf numFmtId="0" fontId="0" fillId="25" borderId="36" xfId="0" applyFill="1" applyBorder="1"/>
    <xf numFmtId="0" fontId="41" fillId="0" borderId="0" xfId="0" applyFont="1" applyAlignment="1">
      <alignment horizontal="center"/>
    </xf>
    <xf numFmtId="0" fontId="0" fillId="0" borderId="36" xfId="0" applyBorder="1"/>
    <xf numFmtId="0" fontId="0" fillId="28" borderId="36" xfId="0" applyFill="1" applyBorder="1" applyAlignment="1">
      <alignment horizontal="center"/>
    </xf>
    <xf numFmtId="2" fontId="0" fillId="29" borderId="0" xfId="0" applyNumberForma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28" borderId="37" xfId="0" applyFill="1" applyBorder="1" applyAlignment="1">
      <alignment horizontal="center"/>
    </xf>
    <xf numFmtId="2" fontId="0" fillId="29" borderId="38" xfId="0" applyNumberFormat="1" applyFill="1" applyBorder="1" applyAlignment="1">
      <alignment horizontal="center"/>
    </xf>
    <xf numFmtId="0" fontId="41" fillId="25" borderId="0" xfId="0" applyFont="1" applyFill="1"/>
    <xf numFmtId="0" fontId="41" fillId="25" borderId="0" xfId="0" applyFont="1" applyFill="1" applyAlignment="1">
      <alignment horizontal="center"/>
    </xf>
    <xf numFmtId="0" fontId="0" fillId="25" borderId="0" xfId="0" applyFill="1" applyAlignment="1">
      <alignment horizontal="center"/>
    </xf>
    <xf numFmtId="0" fontId="0" fillId="25" borderId="0" xfId="0" applyFill="1"/>
    <xf numFmtId="1" fontId="0" fillId="25" borderId="0" xfId="0" applyNumberFormat="1" applyFill="1" applyAlignment="1">
      <alignment horizontal="center"/>
    </xf>
    <xf numFmtId="0" fontId="41" fillId="0" borderId="33" xfId="0" applyFont="1" applyBorder="1"/>
    <xf numFmtId="1" fontId="41" fillId="0" borderId="34" xfId="0" applyNumberFormat="1" applyFont="1" applyBorder="1" applyAlignment="1">
      <alignment horizontal="center"/>
    </xf>
    <xf numFmtId="0" fontId="0" fillId="28" borderId="0" xfId="0" applyFill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165" fontId="0" fillId="0" borderId="22" xfId="0" applyNumberFormat="1" applyBorder="1"/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0" fontId="0" fillId="28" borderId="10" xfId="0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17" xfId="0" applyNumberFormat="1" applyBorder="1" applyAlignment="1">
      <alignment horizontal="center"/>
    </xf>
    <xf numFmtId="0" fontId="59" fillId="32" borderId="29" xfId="0" applyFont="1" applyFill="1" applyBorder="1"/>
    <xf numFmtId="0" fontId="60" fillId="32" borderId="29" xfId="0" applyFont="1" applyFill="1" applyBorder="1"/>
    <xf numFmtId="0" fontId="0" fillId="32" borderId="29" xfId="0" applyFill="1" applyBorder="1"/>
    <xf numFmtId="2" fontId="60" fillId="0" borderId="0" xfId="0" applyNumberFormat="1" applyFont="1" applyBorder="1" applyAlignment="1">
      <alignment horizontal="center"/>
    </xf>
    <xf numFmtId="1" fontId="60" fillId="0" borderId="0" xfId="0" applyNumberFormat="1" applyFont="1" applyBorder="1" applyAlignment="1">
      <alignment horizontal="center"/>
    </xf>
    <xf numFmtId="0" fontId="60" fillId="0" borderId="0" xfId="0" applyFont="1" applyBorder="1"/>
    <xf numFmtId="0" fontId="41" fillId="25" borderId="39" xfId="0" applyFont="1" applyFill="1" applyBorder="1"/>
    <xf numFmtId="166" fontId="0" fillId="25" borderId="39" xfId="0" applyNumberFormat="1" applyFill="1" applyBorder="1" applyAlignment="1">
      <alignment horizontal="center"/>
    </xf>
    <xf numFmtId="0" fontId="0" fillId="25" borderId="39" xfId="0" applyFill="1" applyBorder="1"/>
    <xf numFmtId="166" fontId="55" fillId="28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39" xfId="0" applyBorder="1"/>
    <xf numFmtId="0" fontId="41" fillId="0" borderId="0" xfId="0" applyFont="1" applyBorder="1"/>
    <xf numFmtId="1" fontId="41" fillId="0" borderId="0" xfId="0" applyNumberFormat="1" applyFont="1" applyBorder="1" applyAlignment="1">
      <alignment horizontal="center"/>
    </xf>
    <xf numFmtId="0" fontId="67" fillId="0" borderId="0" xfId="0" applyFont="1"/>
    <xf numFmtId="2" fontId="0" fillId="0" borderId="39" xfId="0" applyNumberFormat="1" applyBorder="1" applyAlignment="1">
      <alignment horizontal="center"/>
    </xf>
    <xf numFmtId="0" fontId="0" fillId="0" borderId="0" xfId="0" applyFill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34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68" fillId="0" borderId="0" xfId="0" applyFont="1"/>
    <xf numFmtId="0" fontId="68" fillId="0" borderId="0" xfId="0" applyFont="1" applyAlignment="1">
      <alignment horizontal="right"/>
    </xf>
    <xf numFmtId="0" fontId="68" fillId="0" borderId="39" xfId="0" applyFont="1" applyBorder="1"/>
    <xf numFmtId="0" fontId="67" fillId="0" borderId="0" xfId="0" applyFont="1" applyAlignment="1">
      <alignment horizontal="right"/>
    </xf>
    <xf numFmtId="0" fontId="69" fillId="32" borderId="27" xfId="0" applyFont="1" applyFill="1" applyBorder="1" applyAlignment="1">
      <alignment horizontal="center"/>
    </xf>
    <xf numFmtId="49" fontId="0" fillId="0" borderId="33" xfId="0" applyNumberFormat="1" applyBorder="1" applyAlignment="1">
      <alignment horizontal="center"/>
    </xf>
    <xf numFmtId="49" fontId="0" fillId="0" borderId="34" xfId="0" applyNumberFormat="1" applyBorder="1" applyAlignment="1">
      <alignment horizontal="center"/>
    </xf>
    <xf numFmtId="0" fontId="0" fillId="0" borderId="0" xfId="0" applyNumberFormat="1" applyAlignment="1">
      <alignment horizontal="center"/>
    </xf>
    <xf numFmtId="165" fontId="55" fillId="0" borderId="0" xfId="0" applyNumberFormat="1" applyFont="1" applyAlignment="1">
      <alignment horizontal="right"/>
    </xf>
    <xf numFmtId="0" fontId="55" fillId="0" borderId="0" xfId="0" applyFont="1" applyAlignment="1">
      <alignment horizontal="right"/>
    </xf>
    <xf numFmtId="0" fontId="71" fillId="0" borderId="0" xfId="41" applyFont="1"/>
    <xf numFmtId="0" fontId="44" fillId="0" borderId="0" xfId="41" applyFont="1"/>
    <xf numFmtId="0" fontId="44" fillId="0" borderId="0" xfId="41" applyFont="1" applyAlignment="1">
      <alignment horizontal="left" vertical="top"/>
    </xf>
    <xf numFmtId="0" fontId="47" fillId="0" borderId="0" xfId="41" applyFont="1" applyAlignment="1">
      <alignment horizontal="left" vertical="top"/>
    </xf>
    <xf numFmtId="0" fontId="74" fillId="0" borderId="0" xfId="41" applyFont="1" applyAlignment="1">
      <alignment horizontal="left" vertical="top"/>
    </xf>
    <xf numFmtId="165" fontId="75" fillId="0" borderId="0" xfId="0" applyNumberFormat="1" applyFont="1" applyAlignment="1">
      <alignment horizontal="left"/>
    </xf>
    <xf numFmtId="0" fontId="75" fillId="0" borderId="0" xfId="40" applyFont="1"/>
    <xf numFmtId="2" fontId="75" fillId="0" borderId="0" xfId="0" applyNumberFormat="1" applyFont="1" applyAlignment="1">
      <alignment horizontal="center"/>
    </xf>
    <xf numFmtId="1" fontId="75" fillId="0" borderId="0" xfId="0" applyNumberFormat="1" applyFont="1" applyBorder="1" applyAlignment="1">
      <alignment horizontal="center"/>
    </xf>
    <xf numFmtId="2" fontId="75" fillId="0" borderId="0" xfId="40" applyNumberFormat="1" applyFont="1" applyAlignment="1">
      <alignment horizontal="right"/>
    </xf>
    <xf numFmtId="0" fontId="75" fillId="0" borderId="0" xfId="0" applyFont="1" applyAlignment="1">
      <alignment horizontal="left"/>
    </xf>
    <xf numFmtId="2" fontId="75" fillId="0" borderId="0" xfId="0" applyNumberFormat="1" applyFont="1" applyAlignment="1">
      <alignment horizontal="right"/>
    </xf>
    <xf numFmtId="1" fontId="75" fillId="0" borderId="0" xfId="0" applyNumberFormat="1" applyFont="1" applyAlignment="1">
      <alignment horizontal="center"/>
    </xf>
    <xf numFmtId="0" fontId="75" fillId="0" borderId="0" xfId="0" applyFont="1"/>
    <xf numFmtId="0" fontId="55" fillId="0" borderId="0" xfId="0" applyFont="1" applyFill="1" applyBorder="1" applyAlignment="1">
      <alignment horizontal="left"/>
    </xf>
    <xf numFmtId="0" fontId="55" fillId="25" borderId="0" xfId="0" applyFont="1" applyFill="1" applyAlignment="1">
      <alignment horizontal="center"/>
    </xf>
    <xf numFmtId="2" fontId="76" fillId="0" borderId="0" xfId="0" applyNumberFormat="1" applyFont="1" applyAlignment="1">
      <alignment horizontal="center"/>
    </xf>
    <xf numFmtId="1" fontId="27" fillId="0" borderId="0" xfId="0" applyNumberFormat="1" applyFont="1" applyFill="1" applyBorder="1"/>
    <xf numFmtId="0" fontId="77" fillId="0" borderId="0" xfId="47" applyFont="1"/>
    <xf numFmtId="0" fontId="75" fillId="0" borderId="0" xfId="48" applyFont="1" applyFill="1" applyBorder="1"/>
    <xf numFmtId="0" fontId="75" fillId="0" borderId="0" xfId="0" applyFont="1" applyBorder="1"/>
    <xf numFmtId="1" fontId="0" fillId="31" borderId="39" xfId="0" applyNumberFormat="1" applyFill="1" applyBorder="1" applyAlignment="1">
      <alignment horizontal="right"/>
    </xf>
    <xf numFmtId="1" fontId="55" fillId="31" borderId="39" xfId="0" applyNumberFormat="1" applyFont="1" applyFill="1" applyBorder="1" applyAlignment="1">
      <alignment horizontal="right"/>
    </xf>
    <xf numFmtId="1" fontId="0" fillId="0" borderId="0" xfId="0" applyNumberFormat="1"/>
    <xf numFmtId="165" fontId="0" fillId="0" borderId="0" xfId="0" applyNumberFormat="1"/>
    <xf numFmtId="165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40" xfId="0" applyBorder="1"/>
    <xf numFmtId="0" fontId="41" fillId="25" borderId="41" xfId="0" applyFont="1" applyFill="1" applyBorder="1" applyAlignment="1">
      <alignment horizontal="center"/>
    </xf>
    <xf numFmtId="166" fontId="0" fillId="25" borderId="40" xfId="0" applyNumberFormat="1" applyFill="1" applyBorder="1" applyAlignment="1">
      <alignment horizontal="center"/>
    </xf>
    <xf numFmtId="1" fontId="0" fillId="25" borderId="40" xfId="0" applyNumberFormat="1" applyFill="1" applyBorder="1" applyAlignment="1">
      <alignment horizontal="center"/>
    </xf>
    <xf numFmtId="166" fontId="0" fillId="31" borderId="40" xfId="0" applyNumberFormat="1" applyFill="1" applyBorder="1" applyAlignment="1">
      <alignment horizontal="right"/>
    </xf>
    <xf numFmtId="166" fontId="0" fillId="31" borderId="42" xfId="0" applyNumberFormat="1" applyFill="1" applyBorder="1" applyAlignment="1">
      <alignment horizontal="right"/>
    </xf>
    <xf numFmtId="166" fontId="0" fillId="0" borderId="40" xfId="0" applyNumberFormat="1" applyBorder="1" applyAlignment="1">
      <alignment horizontal="right"/>
    </xf>
    <xf numFmtId="0" fontId="41" fillId="25" borderId="43" xfId="0" applyFont="1" applyFill="1" applyBorder="1" applyAlignment="1">
      <alignment horizontal="center"/>
    </xf>
    <xf numFmtId="2" fontId="0" fillId="29" borderId="40" xfId="0" applyNumberFormat="1" applyFill="1" applyBorder="1" applyAlignment="1">
      <alignment horizontal="center"/>
    </xf>
    <xf numFmtId="2" fontId="0" fillId="29" borderId="44" xfId="0" applyNumberFormat="1" applyFill="1" applyBorder="1" applyAlignment="1">
      <alignment horizontal="center"/>
    </xf>
    <xf numFmtId="0" fontId="41" fillId="25" borderId="40" xfId="0" applyFont="1" applyFill="1" applyBorder="1" applyAlignment="1">
      <alignment horizontal="center"/>
    </xf>
    <xf numFmtId="1" fontId="41" fillId="0" borderId="45" xfId="0" applyNumberFormat="1" applyFont="1" applyBorder="1" applyAlignment="1">
      <alignment horizontal="center"/>
    </xf>
    <xf numFmtId="2" fontId="0" fillId="0" borderId="46" xfId="0" applyNumberFormat="1" applyBorder="1" applyAlignment="1">
      <alignment horizontal="center"/>
    </xf>
    <xf numFmtId="2" fontId="0" fillId="0" borderId="47" xfId="0" applyNumberFormat="1" applyBorder="1" applyAlignment="1">
      <alignment horizontal="center"/>
    </xf>
    <xf numFmtId="2" fontId="0" fillId="0" borderId="48" xfId="0" applyNumberFormat="1" applyBorder="1" applyAlignment="1">
      <alignment horizontal="center"/>
    </xf>
    <xf numFmtId="165" fontId="0" fillId="0" borderId="46" xfId="0" applyNumberFormat="1" applyBorder="1" applyAlignment="1">
      <alignment horizontal="center"/>
    </xf>
    <xf numFmtId="165" fontId="0" fillId="0" borderId="47" xfId="0" applyNumberFormat="1" applyBorder="1" applyAlignment="1">
      <alignment horizontal="center"/>
    </xf>
    <xf numFmtId="165" fontId="0" fillId="0" borderId="48" xfId="0" applyNumberFormat="1" applyBorder="1" applyAlignment="1">
      <alignment horizontal="center"/>
    </xf>
    <xf numFmtId="0" fontId="60" fillId="32" borderId="42" xfId="0" applyFont="1" applyFill="1" applyBorder="1"/>
    <xf numFmtId="2" fontId="60" fillId="0" borderId="40" xfId="0" applyNumberFormat="1" applyFont="1" applyBorder="1" applyAlignment="1">
      <alignment horizontal="center"/>
    </xf>
    <xf numFmtId="0" fontId="0" fillId="25" borderId="0" xfId="0" applyFill="1" applyBorder="1"/>
    <xf numFmtId="166" fontId="0" fillId="0" borderId="0" xfId="0" applyNumberFormat="1" applyBorder="1" applyAlignment="1">
      <alignment horizontal="right"/>
    </xf>
    <xf numFmtId="0" fontId="41" fillId="25" borderId="0" xfId="0" applyFont="1" applyFill="1" applyBorder="1"/>
    <xf numFmtId="0" fontId="0" fillId="0" borderId="49" xfId="0" applyBorder="1"/>
    <xf numFmtId="0" fontId="41" fillId="25" borderId="50" xfId="0" applyFont="1" applyFill="1" applyBorder="1" applyAlignment="1">
      <alignment horizontal="center"/>
    </xf>
    <xf numFmtId="166" fontId="0" fillId="25" borderId="49" xfId="0" applyNumberFormat="1" applyFill="1" applyBorder="1" applyAlignment="1">
      <alignment horizontal="center"/>
    </xf>
    <xf numFmtId="1" fontId="0" fillId="25" borderId="49" xfId="0" applyNumberFormat="1" applyFill="1" applyBorder="1" applyAlignment="1">
      <alignment horizontal="center"/>
    </xf>
    <xf numFmtId="166" fontId="0" fillId="31" borderId="49" xfId="0" applyNumberFormat="1" applyFill="1" applyBorder="1" applyAlignment="1">
      <alignment horizontal="right"/>
    </xf>
    <xf numFmtId="166" fontId="0" fillId="31" borderId="51" xfId="0" applyNumberFormat="1" applyFill="1" applyBorder="1" applyAlignment="1">
      <alignment horizontal="right"/>
    </xf>
    <xf numFmtId="166" fontId="0" fillId="0" borderId="49" xfId="0" applyNumberFormat="1" applyBorder="1" applyAlignment="1">
      <alignment horizontal="right"/>
    </xf>
    <xf numFmtId="0" fontId="41" fillId="25" borderId="52" xfId="0" applyFont="1" applyFill="1" applyBorder="1" applyAlignment="1">
      <alignment horizontal="center"/>
    </xf>
    <xf numFmtId="2" fontId="0" fillId="29" borderId="49" xfId="0" applyNumberFormat="1" applyFill="1" applyBorder="1" applyAlignment="1">
      <alignment horizontal="center"/>
    </xf>
    <xf numFmtId="2" fontId="0" fillId="29" borderId="53" xfId="0" applyNumberFormat="1" applyFill="1" applyBorder="1" applyAlignment="1">
      <alignment horizontal="center"/>
    </xf>
    <xf numFmtId="0" fontId="41" fillId="25" borderId="49" xfId="0" applyFont="1" applyFill="1" applyBorder="1" applyAlignment="1">
      <alignment horizontal="center"/>
    </xf>
    <xf numFmtId="1" fontId="41" fillId="0" borderId="54" xfId="0" applyNumberFormat="1" applyFont="1" applyBorder="1" applyAlignment="1">
      <alignment horizontal="center"/>
    </xf>
    <xf numFmtId="2" fontId="0" fillId="0" borderId="55" xfId="0" applyNumberFormat="1" applyBorder="1" applyAlignment="1">
      <alignment horizontal="center"/>
    </xf>
    <xf numFmtId="2" fontId="0" fillId="0" borderId="49" xfId="0" applyNumberFormat="1" applyBorder="1" applyAlignment="1">
      <alignment horizontal="center"/>
    </xf>
    <xf numFmtId="2" fontId="0" fillId="0" borderId="56" xfId="0" applyNumberFormat="1" applyBorder="1" applyAlignment="1">
      <alignment horizontal="center"/>
    </xf>
    <xf numFmtId="165" fontId="0" fillId="0" borderId="55" xfId="0" applyNumberFormat="1" applyBorder="1" applyAlignment="1">
      <alignment horizontal="center"/>
    </xf>
    <xf numFmtId="165" fontId="0" fillId="0" borderId="49" xfId="0" applyNumberFormat="1" applyBorder="1" applyAlignment="1">
      <alignment horizontal="center"/>
    </xf>
    <xf numFmtId="165" fontId="0" fillId="0" borderId="56" xfId="0" applyNumberFormat="1" applyBorder="1" applyAlignment="1">
      <alignment horizontal="center"/>
    </xf>
    <xf numFmtId="0" fontId="60" fillId="32" borderId="51" xfId="0" applyFont="1" applyFill="1" applyBorder="1"/>
    <xf numFmtId="2" fontId="60" fillId="0" borderId="49" xfId="0" applyNumberFormat="1" applyFont="1" applyBorder="1" applyAlignment="1">
      <alignment horizontal="center"/>
    </xf>
    <xf numFmtId="0" fontId="79" fillId="33" borderId="0" xfId="0" applyNumberFormat="1" applyFont="1" applyFill="1" applyAlignment="1">
      <alignment horizontal="center"/>
    </xf>
    <xf numFmtId="1" fontId="79" fillId="33" borderId="0" xfId="0" applyNumberFormat="1" applyFont="1" applyFill="1" applyBorder="1" applyAlignment="1">
      <alignment horizontal="center"/>
    </xf>
    <xf numFmtId="0" fontId="66" fillId="0" borderId="0" xfId="0" applyFont="1" applyFill="1" applyBorder="1"/>
    <xf numFmtId="1" fontId="79" fillId="33" borderId="23" xfId="0" applyNumberFormat="1" applyFont="1" applyFill="1" applyBorder="1" applyAlignment="1">
      <alignment horizontal="center"/>
    </xf>
    <xf numFmtId="1" fontId="0" fillId="25" borderId="23" xfId="0" applyNumberFormat="1" applyFill="1" applyBorder="1" applyAlignment="1">
      <alignment horizontal="right"/>
    </xf>
    <xf numFmtId="1" fontId="0" fillId="31" borderId="57" xfId="0" applyNumberFormat="1" applyFill="1" applyBorder="1" applyAlignment="1">
      <alignment horizontal="right"/>
    </xf>
    <xf numFmtId="1" fontId="0" fillId="31" borderId="24" xfId="0" applyNumberFormat="1" applyFill="1" applyBorder="1" applyAlignment="1">
      <alignment horizontal="right"/>
    </xf>
    <xf numFmtId="1" fontId="0" fillId="25" borderId="0" xfId="0" applyNumberFormat="1" applyFill="1" applyBorder="1" applyAlignment="1">
      <alignment horizontal="right"/>
    </xf>
    <xf numFmtId="1" fontId="0" fillId="31" borderId="25" xfId="0" applyNumberFormat="1" applyFill="1" applyBorder="1" applyAlignment="1">
      <alignment horizontal="right"/>
    </xf>
    <xf numFmtId="1" fontId="55" fillId="31" borderId="25" xfId="0" applyNumberFormat="1" applyFont="1" applyFill="1" applyBorder="1" applyAlignment="1">
      <alignment horizontal="right"/>
    </xf>
    <xf numFmtId="1" fontId="79" fillId="33" borderId="0" xfId="0" applyNumberFormat="1" applyFont="1" applyFill="1" applyBorder="1" applyAlignment="1">
      <alignment horizontal="right"/>
    </xf>
    <xf numFmtId="1" fontId="79" fillId="33" borderId="29" xfId="0" applyNumberFormat="1" applyFont="1" applyFill="1" applyBorder="1" applyAlignment="1">
      <alignment horizontal="right"/>
    </xf>
    <xf numFmtId="1" fontId="0" fillId="25" borderId="29" xfId="0" applyNumberFormat="1" applyFill="1" applyBorder="1" applyAlignment="1">
      <alignment horizontal="right"/>
    </xf>
    <xf numFmtId="1" fontId="0" fillId="31" borderId="58" xfId="0" applyNumberFormat="1" applyFill="1" applyBorder="1" applyAlignment="1">
      <alignment horizontal="right"/>
    </xf>
    <xf numFmtId="1" fontId="0" fillId="31" borderId="30" xfId="0" applyNumberFormat="1" applyFill="1" applyBorder="1" applyAlignment="1">
      <alignment horizontal="right"/>
    </xf>
    <xf numFmtId="0" fontId="55" fillId="28" borderId="59" xfId="0" applyFont="1" applyFill="1" applyBorder="1" applyAlignment="1">
      <alignment horizontal="center"/>
    </xf>
    <xf numFmtId="0" fontId="55" fillId="28" borderId="19" xfId="0" applyFont="1" applyFill="1" applyBorder="1" applyAlignment="1">
      <alignment horizontal="center"/>
    </xf>
    <xf numFmtId="0" fontId="0" fillId="28" borderId="19" xfId="0" applyFill="1" applyBorder="1" applyAlignment="1">
      <alignment horizontal="center"/>
    </xf>
    <xf numFmtId="0" fontId="0" fillId="28" borderId="60" xfId="0" applyFill="1" applyBorder="1" applyAlignment="1">
      <alignment horizontal="center"/>
    </xf>
    <xf numFmtId="0" fontId="0" fillId="28" borderId="59" xfId="0" applyFill="1" applyBorder="1" applyAlignment="1">
      <alignment horizontal="center"/>
    </xf>
    <xf numFmtId="0" fontId="0" fillId="0" borderId="59" xfId="0" applyBorder="1"/>
    <xf numFmtId="0" fontId="0" fillId="0" borderId="19" xfId="0" applyBorder="1"/>
    <xf numFmtId="0" fontId="0" fillId="0" borderId="60" xfId="0" applyBorder="1"/>
    <xf numFmtId="165" fontId="55" fillId="33" borderId="0" xfId="0" applyNumberFormat="1" applyFont="1" applyFill="1" applyBorder="1" applyAlignment="1">
      <alignment horizontal="center"/>
    </xf>
    <xf numFmtId="2" fontId="55" fillId="33" borderId="11" xfId="0" applyNumberFormat="1" applyFont="1" applyFill="1" applyBorder="1" applyAlignment="1">
      <alignment horizontal="center"/>
    </xf>
    <xf numFmtId="2" fontId="55" fillId="33" borderId="0" xfId="0" applyNumberFormat="1" applyFont="1" applyFill="1" applyBorder="1" applyAlignment="1">
      <alignment horizontal="center"/>
    </xf>
    <xf numFmtId="2" fontId="55" fillId="33" borderId="17" xfId="0" applyNumberFormat="1" applyFont="1" applyFill="1" applyBorder="1" applyAlignment="1">
      <alignment horizontal="center"/>
    </xf>
    <xf numFmtId="166" fontId="55" fillId="28" borderId="40" xfId="0" applyNumberFormat="1" applyFont="1" applyFill="1" applyBorder="1" applyAlignment="1">
      <alignment horizontal="center"/>
    </xf>
    <xf numFmtId="1" fontId="0" fillId="25" borderId="41" xfId="0" applyNumberFormat="1" applyFill="1" applyBorder="1" applyAlignment="1">
      <alignment horizontal="right"/>
    </xf>
    <xf numFmtId="1" fontId="0" fillId="25" borderId="40" xfId="0" applyNumberFormat="1" applyFill="1" applyBorder="1" applyAlignment="1">
      <alignment horizontal="right"/>
    </xf>
    <xf numFmtId="1" fontId="0" fillId="25" borderId="42" xfId="0" applyNumberFormat="1" applyFill="1" applyBorder="1" applyAlignment="1">
      <alignment horizontal="right"/>
    </xf>
    <xf numFmtId="1" fontId="41" fillId="0" borderId="40" xfId="0" applyNumberFormat="1" applyFont="1" applyBorder="1" applyAlignment="1">
      <alignment horizontal="center"/>
    </xf>
    <xf numFmtId="2" fontId="0" fillId="0" borderId="61" xfId="0" applyNumberFormat="1" applyBorder="1" applyAlignment="1">
      <alignment horizontal="center"/>
    </xf>
    <xf numFmtId="2" fontId="0" fillId="0" borderId="40" xfId="0" applyNumberFormat="1" applyBorder="1" applyAlignment="1">
      <alignment horizontal="center"/>
    </xf>
    <xf numFmtId="2" fontId="0" fillId="0" borderId="62" xfId="0" applyNumberFormat="1" applyBorder="1" applyAlignment="1">
      <alignment horizontal="center"/>
    </xf>
    <xf numFmtId="1" fontId="0" fillId="0" borderId="45" xfId="0" applyNumberFormat="1" applyBorder="1" applyAlignment="1">
      <alignment horizontal="center"/>
    </xf>
    <xf numFmtId="165" fontId="0" fillId="0" borderId="40" xfId="0" applyNumberFormat="1" applyFill="1" applyBorder="1" applyAlignment="1">
      <alignment horizontal="center"/>
    </xf>
    <xf numFmtId="0" fontId="68" fillId="0" borderId="40" xfId="0" applyFont="1" applyBorder="1"/>
    <xf numFmtId="49" fontId="0" fillId="0" borderId="45" xfId="0" applyNumberFormat="1" applyBorder="1" applyAlignment="1">
      <alignment horizontal="center"/>
    </xf>
    <xf numFmtId="0" fontId="0" fillId="0" borderId="40" xfId="0" applyNumberFormat="1" applyBorder="1" applyAlignment="1">
      <alignment horizontal="center"/>
    </xf>
    <xf numFmtId="2" fontId="82" fillId="34" borderId="0" xfId="0" applyNumberFormat="1" applyFont="1" applyFill="1" applyAlignment="1">
      <alignment horizontal="center"/>
    </xf>
    <xf numFmtId="2" fontId="76" fillId="34" borderId="0" xfId="0" applyNumberFormat="1" applyFont="1" applyFill="1" applyAlignment="1">
      <alignment horizontal="center"/>
    </xf>
    <xf numFmtId="0" fontId="0" fillId="0" borderId="0" xfId="0" applyFill="1"/>
    <xf numFmtId="0" fontId="81" fillId="0" borderId="0" xfId="0" applyFont="1" applyFill="1" applyBorder="1" applyAlignment="1">
      <alignment horizontal="center"/>
    </xf>
    <xf numFmtId="2" fontId="0" fillId="0" borderId="0" xfId="0" applyNumberFormat="1" applyFill="1"/>
    <xf numFmtId="0" fontId="0" fillId="0" borderId="0" xfId="0" applyFill="1" applyBorder="1" applyAlignment="1">
      <alignment horizontal="center"/>
    </xf>
    <xf numFmtId="0" fontId="75" fillId="0" borderId="0" xfId="0" applyFont="1" applyFill="1"/>
  </cellXfs>
  <cellStyles count="49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45" builtinId="25" customBuiltin="1"/>
    <cellStyle name="hidden" xfId="34"/>
    <cellStyle name="Hypertextový odkaz" xfId="35" builtinId="8"/>
    <cellStyle name="Chybně" xfId="25" builtinId="27" customBuiltin="1"/>
    <cellStyle name="Kontrolní buňka" xfId="27" builtinId="23" customBuiltin="1"/>
    <cellStyle name="Nadpis 1" xfId="30" builtinId="16" customBuiltin="1"/>
    <cellStyle name="Nadpis 2" xfId="31" builtinId="17" customBuiltin="1"/>
    <cellStyle name="Nadpis 3" xfId="32" builtinId="18" customBuiltin="1"/>
    <cellStyle name="Nadpis 4" xfId="33" builtinId="19" customBuiltin="1"/>
    <cellStyle name="Název" xfId="44" builtinId="15" customBuiltin="1"/>
    <cellStyle name="Neutrální" xfId="38" builtinId="28" customBuiltin="1"/>
    <cellStyle name="Normal 2" xfId="39"/>
    <cellStyle name="Normal 4" xfId="47"/>
    <cellStyle name="Normal_Cw_CampaignI" xfId="48"/>
    <cellStyle name="Normal_kpw v5" xfId="40"/>
    <cellStyle name="Normal_NLS Rs calc MW model" xfId="41"/>
    <cellStyle name="Normální" xfId="0" builtinId="0"/>
    <cellStyle name="Poznámka" xfId="42" builtinId="10" customBuiltin="1"/>
    <cellStyle name="Propojená buňka" xfId="37" builtinId="24" customBuiltin="1"/>
    <cellStyle name="Správně" xfId="29" builtinId="26" customBuiltin="1"/>
    <cellStyle name="Text upozornění" xfId="46" builtinId="11" customBuiltin="1"/>
    <cellStyle name="Vstup" xfId="36" builtinId="20" customBuiltin="1"/>
    <cellStyle name="Výpočet" xfId="26" builtinId="22" customBuiltin="1"/>
    <cellStyle name="Výstup" xfId="43" builtinId="21" customBuiltin="1"/>
    <cellStyle name="Vysvětlující text" xfId="28" builtinId="53" customBuiltin="1"/>
    <cellStyle name="Zvýraznění 1" xfId="19" builtinId="29" customBuiltin="1"/>
    <cellStyle name="Zvýraznění 2" xfId="20" builtinId="33" customBuiltin="1"/>
    <cellStyle name="Zvýraznění 3" xfId="21" builtinId="37" customBuiltin="1"/>
    <cellStyle name="Zvýraznění 4" xfId="22" builtinId="41" customBuiltin="1"/>
    <cellStyle name="Zvýraznění 5" xfId="23" builtinId="45" customBuiltin="1"/>
    <cellStyle name="Zvýraznění 6" xfId="24" builtinId="49" customBuiltin="1"/>
  </cellStyles>
  <dxfs count="1">
    <dxf>
      <font>
        <condense val="0"/>
        <extend val="0"/>
        <color indexed="5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'Rs kalkulace Altesil MW'!$J$21</c:f>
          <c:strCache>
            <c:ptCount val="1"/>
            <c:pt idx="0">
              <c:v>Priklad 1</c:v>
            </c:pt>
          </c:strCache>
        </c:strRef>
      </c:tx>
      <c:layout>
        <c:manualLayout>
          <c:xMode val="edge"/>
          <c:yMode val="edge"/>
          <c:x val="0.48684209116717614"/>
          <c:y val="1.4534674129589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9183706923117738"/>
          <c:y val="0.15254250814221557"/>
          <c:w val="0.75918499738295753"/>
          <c:h val="0.67554539320123963"/>
        </c:manualLayout>
      </c:layout>
      <c:scatterChart>
        <c:scatterStyle val="lineMarker"/>
        <c:varyColors val="0"/>
        <c:ser>
          <c:idx val="0"/>
          <c:order val="0"/>
          <c:tx>
            <c:strRef>
              <c:f>'Rs kalkulace Altesil MW'!$A$84</c:f>
              <c:strCache>
                <c:ptCount val="1"/>
                <c:pt idx="0">
                  <c:v>d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'Rs kalkulace Altesil MW'!$B$39:$B$60</c:f>
              <c:numCache>
                <c:formatCode>0.00</c:formatCode>
                <c:ptCount val="22"/>
                <c:pt idx="0">
                  <c:v>4.6698892807926278</c:v>
                </c:pt>
                <c:pt idx="1">
                  <c:v>5.2893963366346517</c:v>
                </c:pt>
                <c:pt idx="2">
                  <c:v>5.4793963366346521</c:v>
                </c:pt>
                <c:pt idx="3">
                  <c:v>5.4293963366346523</c:v>
                </c:pt>
                <c:pt idx="4">
                  <c:v>5.6844510053176576</c:v>
                </c:pt>
                <c:pt idx="5">
                  <c:v>6.216372666363136</c:v>
                </c:pt>
                <c:pt idx="6">
                  <c:v>6.3481425756163192</c:v>
                </c:pt>
                <c:pt idx="7">
                  <c:v>6.8691108151645723</c:v>
                </c:pt>
                <c:pt idx="8">
                  <c:v>6.513905478925345</c:v>
                </c:pt>
                <c:pt idx="9">
                  <c:v>7.3327724498462317</c:v>
                </c:pt>
                <c:pt idx="10">
                  <c:v>7.1497407537871496</c:v>
                </c:pt>
                <c:pt idx="11">
                  <c:v>7.2257715415119002</c:v>
                </c:pt>
                <c:pt idx="12">
                  <c:v>7.8264669364037438</c:v>
                </c:pt>
                <c:pt idx="13">
                  <c:v>8.8246863004409342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</c:numCache>
            </c:numRef>
          </c:xVal>
          <c:yVal>
            <c:numRef>
              <c:f>'Rs kalkulace Altesil MW'!$A$85:$A$106</c:f>
              <c:numCache>
                <c:formatCode>0.000</c:formatCode>
                <c:ptCount val="22"/>
                <c:pt idx="0">
                  <c:v>#N/A</c:v>
                </c:pt>
                <c:pt idx="1">
                  <c:v>5.3299333708082255E-3</c:v>
                </c:pt>
                <c:pt idx="2">
                  <c:v>2.1903706517039309E-2</c:v>
                </c:pt>
                <c:pt idx="3">
                  <c:v>1.7735659445269052E-2</c:v>
                </c:pt>
                <c:pt idx="4">
                  <c:v>2.1241753008438335E-2</c:v>
                </c:pt>
                <c:pt idx="5">
                  <c:v>0.10681212496840681</c:v>
                </c:pt>
                <c:pt idx="6">
                  <c:v>4.7615679115714238E-2</c:v>
                </c:pt>
                <c:pt idx="7">
                  <c:v>-6.1763433650010247E-2</c:v>
                </c:pt>
                <c:pt idx="8">
                  <c:v>-1.6697360145660367E-2</c:v>
                </c:pt>
                <c:pt idx="9">
                  <c:v>-4.3616357031125097E-2</c:v>
                </c:pt>
                <c:pt idx="10">
                  <c:v>-0.16523035339467751</c:v>
                </c:pt>
                <c:pt idx="11">
                  <c:v>-0.11081076386370503</c:v>
                </c:pt>
                <c:pt idx="12">
                  <c:v>-0.11143052408102561</c:v>
                </c:pt>
                <c:pt idx="13">
                  <c:v>3.0098836743391866E-3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166912"/>
        <c:axId val="104194048"/>
      </c:scatterChart>
      <c:valAx>
        <c:axId val="104166912"/>
        <c:scaling>
          <c:orientation val="minMax"/>
          <c:max val="9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log(K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pw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/M</a:t>
                </a:r>
                <a:r>
                  <a:rPr lang="cs-CZ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-0.47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3947372649847338"/>
              <c:y val="0.9069765676880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194048"/>
        <c:crosses val="autoZero"/>
        <c:crossBetween val="midCat"/>
        <c:majorUnit val="1"/>
      </c:valAx>
      <c:valAx>
        <c:axId val="104194048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f</a:t>
                </a:r>
                <a:r>
                  <a:rPr lang="cs-CZ" sz="11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calc</a:t>
                </a:r>
                <a:r>
                  <a:rPr lang="cs-CZ" sz="1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-f</a:t>
                </a:r>
                <a:r>
                  <a:rPr lang="cs-CZ" sz="11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exp</a:t>
                </a:r>
                <a:r>
                  <a:rPr lang="cs-CZ" sz="11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1.3969682361133441E-2"/>
              <c:y val="0.4025642728393895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0416691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'Rs kalkulace Altesil MW'!$J$21</c:f>
          <c:strCache>
            <c:ptCount val="1"/>
            <c:pt idx="0">
              <c:v>Priklad 1</c:v>
            </c:pt>
          </c:strCache>
        </c:strRef>
      </c:tx>
      <c:layout>
        <c:manualLayout>
          <c:xMode val="edge"/>
          <c:yMode val="edge"/>
          <c:x val="0.48138349974294553"/>
          <c:y val="1.453467412958922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5691509739015957"/>
          <c:y val="4.6511627906976841E-2"/>
          <c:w val="0.80585211032573334"/>
          <c:h val="0.79360465116279144"/>
        </c:manualLayout>
      </c:layout>
      <c:scatterChart>
        <c:scatterStyle val="lineMarker"/>
        <c:varyColors val="0"/>
        <c:ser>
          <c:idx val="0"/>
          <c:order val="0"/>
          <c:tx>
            <c:strRef>
              <c:f>'Rs kalkulace Altesil MW'!$A$35</c:f>
              <c:strCache>
                <c:ptCount val="1"/>
                <c:pt idx="0">
                  <c:v>f-naměřeno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'Rs kalkulace Altesil MW'!$B$39:$B$60</c:f>
              <c:numCache>
                <c:formatCode>0.00</c:formatCode>
                <c:ptCount val="22"/>
                <c:pt idx="0">
                  <c:v>4.6698892807926278</c:v>
                </c:pt>
                <c:pt idx="1">
                  <c:v>5.2893963366346517</c:v>
                </c:pt>
                <c:pt idx="2">
                  <c:v>5.4793963366346521</c:v>
                </c:pt>
                <c:pt idx="3">
                  <c:v>5.4293963366346523</c:v>
                </c:pt>
                <c:pt idx="4">
                  <c:v>5.6844510053176576</c:v>
                </c:pt>
                <c:pt idx="5">
                  <c:v>6.216372666363136</c:v>
                </c:pt>
                <c:pt idx="6">
                  <c:v>6.3481425756163192</c:v>
                </c:pt>
                <c:pt idx="7">
                  <c:v>6.8691108151645723</c:v>
                </c:pt>
                <c:pt idx="8">
                  <c:v>6.513905478925345</c:v>
                </c:pt>
                <c:pt idx="9">
                  <c:v>7.3327724498462317</c:v>
                </c:pt>
                <c:pt idx="10">
                  <c:v>7.1497407537871496</c:v>
                </c:pt>
                <c:pt idx="11">
                  <c:v>7.2257715415119002</c:v>
                </c:pt>
                <c:pt idx="12">
                  <c:v>7.8264669364037438</c:v>
                </c:pt>
                <c:pt idx="13">
                  <c:v>8.8246863004409342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</c:numCache>
            </c:numRef>
          </c:xVal>
          <c:yVal>
            <c:numRef>
              <c:f>'Rs kalkulace Altesil MW'!$A$39:$A$60</c:f>
              <c:numCache>
                <c:formatCode>0.000</c:formatCode>
                <c:ptCount val="22"/>
                <c:pt idx="0">
                  <c:v>#N/A</c:v>
                </c:pt>
                <c:pt idx="1">
                  <c:v>5.3622680523758492E-3</c:v>
                </c:pt>
                <c:pt idx="2">
                  <c:v>2.3164948835817854E-2</c:v>
                </c:pt>
                <c:pt idx="3">
                  <c:v>1.8294184233743495E-2</c:v>
                </c:pt>
                <c:pt idx="4">
                  <c:v>3.6797636011174438E-2</c:v>
                </c:pt>
                <c:pt idx="5">
                  <c:v>0.40108225425983213</c:v>
                </c:pt>
                <c:pt idx="6">
                  <c:v>0.45291680795956002</c:v>
                </c:pt>
                <c:pt idx="7">
                  <c:v>0.69999027301082872</c:v>
                </c:pt>
                <c:pt idx="8">
                  <c:v>0.5230934390429498</c:v>
                </c:pt>
                <c:pt idx="9">
                  <c:v>0.86706157181685362</c:v>
                </c:pt>
                <c:pt idx="10">
                  <c:v>0.70186190457043729</c:v>
                </c:pt>
                <c:pt idx="11">
                  <c:v>0.77636974187581365</c:v>
                </c:pt>
                <c:pt idx="12">
                  <c:v>0.85899474235254158</c:v>
                </c:pt>
                <c:pt idx="13">
                  <c:v>1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'Rs kalkulace Altesil MW'!$A$61</c:f>
              <c:strCache>
                <c:ptCount val="1"/>
                <c:pt idx="0">
                  <c:v>f-calc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'Rs kalkulace Altesil MW'!$C$109:$C$146</c:f>
              <c:numCache>
                <c:formatCode>0</c:formatCode>
                <c:ptCount val="38"/>
                <c:pt idx="0">
                  <c:v>3.9630540887192822</c:v>
                </c:pt>
                <c:pt idx="1">
                  <c:v>4.1297848675288886</c:v>
                </c:pt>
                <c:pt idx="2">
                  <c:v>4.2952475735179316</c:v>
                </c:pt>
                <c:pt idx="3">
                  <c:v>4.4596209595364078</c:v>
                </c:pt>
                <c:pt idx="4">
                  <c:v>4.6230484576757283</c:v>
                </c:pt>
                <c:pt idx="5">
                  <c:v>4.7856469126224264</c:v>
                </c:pt>
                <c:pt idx="6">
                  <c:v>4.9475127721944334</c:v>
                </c:pt>
                <c:pt idx="7">
                  <c:v>5.1087265748255408</c:v>
                </c:pt>
                <c:pt idx="8">
                  <c:v>5.2693562670200498</c:v>
                </c:pt>
                <c:pt idx="9">
                  <c:v>5.4294596987816295</c:v>
                </c:pt>
                <c:pt idx="10">
                  <c:v>5.5890865299439856</c:v>
                </c:pt>
                <c:pt idx="11">
                  <c:v>5.7482797067889662</c:v>
                </c:pt>
                <c:pt idx="12">
                  <c:v>5.9070766201906491</c:v>
                </c:pt>
                <c:pt idx="13">
                  <c:v>6.0655100243136069</c:v>
                </c:pt>
                <c:pt idx="14">
                  <c:v>6.223608772920274</c:v>
                </c:pt>
                <c:pt idx="15">
                  <c:v>6.381398415085533</c:v>
                </c:pt>
                <c:pt idx="16">
                  <c:v>6.5389016813512875</c:v>
                </c:pt>
                <c:pt idx="17">
                  <c:v>6.6961388836451192</c:v>
                </c:pt>
                <c:pt idx="18">
                  <c:v>6.85312824669208</c:v>
                </c:pt>
                <c:pt idx="19">
                  <c:v>7.0098861845367884</c:v>
                </c:pt>
                <c:pt idx="20">
                  <c:v>7.166427532736229</c:v>
                </c:pt>
                <c:pt idx="21">
                  <c:v>7.3227657444866896</c:v>
                </c:pt>
                <c:pt idx="22">
                  <c:v>7.4789130572052258</c:v>
                </c:pt>
                <c:pt idx="23">
                  <c:v>7.6348806347508305</c:v>
                </c:pt>
                <c:pt idx="24">
                  <c:v>7.7906786894389546</c:v>
                </c:pt>
                <c:pt idx="25">
                  <c:v>7.94631658719954</c:v>
                </c:pt>
                <c:pt idx="26">
                  <c:v>8.1018029385980714</c:v>
                </c:pt>
                <c:pt idx="27">
                  <c:v>8.2571456779406969</c:v>
                </c:pt>
                <c:pt idx="28">
                  <c:v>8.4123521322876904</c:v>
                </c:pt>
                <c:pt idx="29">
                  <c:v>8.567429081881814</c:v>
                </c:pt>
                <c:pt idx="30">
                  <c:v>8.7223828132420884</c:v>
                </c:pt>
                <c:pt idx="31">
                  <c:v>8.8772191659659772</c:v>
                </c:pt>
                <c:pt idx="32">
                  <c:v>9.0319435741140168</c:v>
                </c:pt>
                <c:pt idx="33">
                  <c:v>9.1865611029123713</c:v>
                </c:pt>
                <c:pt idx="34">
                  <c:v>9.3410764813949534</c:v>
                </c:pt>
                <c:pt idx="35">
                  <c:v>9.495494131512519</c:v>
                </c:pt>
                <c:pt idx="36">
                  <c:v>9.6498181941578842</c:v>
                </c:pt>
                <c:pt idx="37">
                  <c:v>9.8040525524912123</c:v>
                </c:pt>
              </c:numCache>
            </c:numRef>
          </c:xVal>
          <c:yVal>
            <c:numRef>
              <c:f>'Rs kalkulace Altesil MW'!$A$109:$A$146</c:f>
              <c:numCache>
                <c:formatCode>0.000</c:formatCode>
                <c:ptCount val="38"/>
                <c:pt idx="0">
                  <c:v>6.3617129586929728E-96</c:v>
                </c:pt>
                <c:pt idx="1">
                  <c:v>1.4223408031190695E-65</c:v>
                </c:pt>
                <c:pt idx="2">
                  <c:v>4.9843636479955205E-45</c:v>
                </c:pt>
                <c:pt idx="3">
                  <c:v>4.5428822430778504E-31</c:v>
                </c:pt>
                <c:pt idx="4">
                  <c:v>1.4894338554507876E-21</c:v>
                </c:pt>
                <c:pt idx="5">
                  <c:v>4.7555807722584809E-15</c:v>
                </c:pt>
                <c:pt idx="6">
                  <c:v>1.3599607006004105E-10</c:v>
                </c:pt>
                <c:pt idx="7">
                  <c:v>1.559979937802185E-7</c:v>
                </c:pt>
                <c:pt idx="8">
                  <c:v>1.9843210934161488E-5</c:v>
                </c:pt>
                <c:pt idx="9">
                  <c:v>5.5913543196490752E-4</c:v>
                </c:pt>
                <c:pt idx="10">
                  <c:v>5.5962517474584085E-3</c:v>
                </c:pt>
                <c:pt idx="11">
                  <c:v>2.7480733134460349E-2</c:v>
                </c:pt>
                <c:pt idx="12">
                  <c:v>8.261818838789492E-2</c:v>
                </c:pt>
                <c:pt idx="13">
                  <c:v>0.17704839578036213</c:v>
                </c:pt>
                <c:pt idx="14">
                  <c:v>0.30027865719931057</c:v>
                </c:pt>
                <c:pt idx="15">
                  <c:v>0.4332024115827583</c:v>
                </c:pt>
                <c:pt idx="16">
                  <c:v>0.55873044854074183</c:v>
                </c:pt>
                <c:pt idx="17">
                  <c:v>0.66679234546868571</c:v>
                </c:pt>
                <c:pt idx="18">
                  <c:v>0.7540222927609288</c:v>
                </c:pt>
                <c:pt idx="19">
                  <c:v>0.82136265088211191</c:v>
                </c:pt>
                <c:pt idx="20">
                  <c:v>0.87176588773713015</c:v>
                </c:pt>
                <c:pt idx="21">
                  <c:v>0.90869398648727928</c:v>
                </c:pt>
                <c:pt idx="22">
                  <c:v>0.93535334845129303</c:v>
                </c:pt>
                <c:pt idx="23">
                  <c:v>0.95440517153756133</c:v>
                </c:pt>
                <c:pt idx="24">
                  <c:v>0.96792607881759352</c:v>
                </c:pt>
                <c:pt idx="25">
                  <c:v>0.97747647387533154</c:v>
                </c:pt>
                <c:pt idx="26">
                  <c:v>0.98420084216495807</c:v>
                </c:pt>
                <c:pt idx="27">
                  <c:v>0.98892538214928138</c:v>
                </c:pt>
                <c:pt idx="28">
                  <c:v>0.99224024862618598</c:v>
                </c:pt>
                <c:pt idx="29">
                  <c:v>0.99456401502728264</c:v>
                </c:pt>
                <c:pt idx="30">
                  <c:v>0.99619215353175106</c:v>
                </c:pt>
                <c:pt idx="31">
                  <c:v>0.99733258009754777</c:v>
                </c:pt>
                <c:pt idx="32">
                  <c:v>0.99813129500552566</c:v>
                </c:pt>
                <c:pt idx="33">
                  <c:v>0.99869068287516194</c:v>
                </c:pt>
                <c:pt idx="34">
                  <c:v>0.99908248192879012</c:v>
                </c:pt>
                <c:pt idx="35">
                  <c:v>0.99935693242555701</c:v>
                </c:pt>
                <c:pt idx="36">
                  <c:v>0.99954920995109231</c:v>
                </c:pt>
                <c:pt idx="37">
                  <c:v>0.99968394022409013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10880"/>
        <c:axId val="116812800"/>
      </c:scatterChart>
      <c:valAx>
        <c:axId val="116810880"/>
        <c:scaling>
          <c:orientation val="minMax"/>
          <c:max val="9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log(K</a:t>
                </a:r>
                <a:r>
                  <a:rPr lang="cs-CZ" sz="10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pw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/M</a:t>
                </a:r>
                <a:r>
                  <a:rPr lang="cs-CZ" sz="10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-0.47</a:t>
                </a:r>
                <a:r>
                  <a:rPr lang="cs-CZ" sz="10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38829856319506539"/>
              <c:y val="0.9098839452297375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6812800"/>
        <c:crosses val="autoZero"/>
        <c:crossBetween val="midCat"/>
        <c:majorUnit val="1"/>
      </c:valAx>
      <c:valAx>
        <c:axId val="116812800"/>
        <c:scaling>
          <c:orientation val="minMax"/>
          <c:max val="1.29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zadržená frakce</a:t>
                </a:r>
                <a:r>
                  <a:rPr lang="cs-CZ" baseline="0"/>
                  <a:t> PRC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3.7735746949157192E-3"/>
              <c:y val="0.22222306549030771"/>
            </c:manualLayout>
          </c:layout>
          <c:overlay val="0"/>
          <c:spPr>
            <a:noFill/>
            <a:ln w="25400">
              <a:noFill/>
            </a:ln>
          </c:spPr>
        </c:title>
        <c:numFmt formatCode="#\,##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6810880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67835268014178662"/>
          <c:y val="0.56900800050596079"/>
          <c:w val="0.30309359525935614"/>
          <c:h val="0.11138000822186367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1" l="0.75000000000000089" r="0.75000000000000089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'Data Rs'!$P$24</c:f>
          <c:strCache>
            <c:ptCount val="1"/>
            <c:pt idx="0">
              <c:v>ID vzorku 3</c:v>
            </c:pt>
          </c:strCache>
        </c:strRef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73592119235194"/>
          <c:y val="0.12107623318385664"/>
          <c:w val="0.85057662216375363"/>
          <c:h val="0.7331838565022426"/>
        </c:manualLayout>
      </c:layout>
      <c:scatterChart>
        <c:scatterStyle val="lineMarker"/>
        <c:varyColors val="0"/>
        <c:ser>
          <c:idx val="1"/>
          <c:order val="0"/>
          <c:tx>
            <c:v>Modeled</c:v>
          </c:tx>
          <c:spPr>
            <a:ln w="38100" cmpd="sng">
              <a:prstDash val="sysDot"/>
            </a:ln>
          </c:spPr>
          <c:marker>
            <c:symbol val="none"/>
          </c:marker>
          <c:xVal>
            <c:numRef>
              <c:f>'Data Rs'!$C$80:$C$128</c:f>
              <c:numCache>
                <c:formatCode>0.00</c:formatCode>
                <c:ptCount val="49"/>
                <c:pt idx="0">
                  <c:v>3.9416108802787493</c:v>
                </c:pt>
                <c:pt idx="1">
                  <c:v>4.0833223994894805</c:v>
                </c:pt>
                <c:pt idx="2">
                  <c:v>4.2237686546243962</c:v>
                </c:pt>
                <c:pt idx="3">
                  <c:v>4.3631278258666342</c:v>
                </c:pt>
                <c:pt idx="4">
                  <c:v>4.5015429184129259</c:v>
                </c:pt>
                <c:pt idx="5">
                  <c:v>4.6391304522195531</c:v>
                </c:pt>
                <c:pt idx="6">
                  <c:v>4.7759866237014643</c:v>
                </c:pt>
                <c:pt idx="7">
                  <c:v>4.912191773625203</c:v>
                </c:pt>
                <c:pt idx="8">
                  <c:v>5.047813690934758</c:v>
                </c:pt>
                <c:pt idx="9">
                  <c:v>5.1829100984993008</c:v>
                </c:pt>
                <c:pt idx="10">
                  <c:v>5.3175305524378382</c:v>
                </c:pt>
                <c:pt idx="11">
                  <c:v>5.45171791358195</c:v>
                </c:pt>
                <c:pt idx="12">
                  <c:v>5.5855095017689012</c:v>
                </c:pt>
                <c:pt idx="13">
                  <c:v>5.7189380116238606</c:v>
                </c:pt>
                <c:pt idx="14">
                  <c:v>5.8520322466316399</c:v>
                </c:pt>
                <c:pt idx="15">
                  <c:v>5.9848177131177689</c:v>
                </c:pt>
                <c:pt idx="16">
                  <c:v>6.1173171050448651</c:v>
                </c:pt>
                <c:pt idx="17">
                  <c:v>6.2495507028568982</c:v>
                </c:pt>
                <c:pt idx="18">
                  <c:v>6.3815367040335156</c:v>
                </c:pt>
                <c:pt idx="19">
                  <c:v>6.5132914989222064</c:v>
                </c:pt>
                <c:pt idx="20">
                  <c:v>6.6448299023716721</c:v>
                </c:pt>
                <c:pt idx="21">
                  <c:v>6.7761653494019587</c:v>
                </c:pt>
                <c:pt idx="22">
                  <c:v>6.9073100614103984</c:v>
                </c:pt>
                <c:pt idx="23">
                  <c:v>7.0382751880821663</c:v>
                </c:pt>
                <c:pt idx="24">
                  <c:v>7.169070929146379</c:v>
                </c:pt>
                <c:pt idx="25">
                  <c:v>7.2997066393179244</c:v>
                </c:pt>
                <c:pt idx="26">
                  <c:v>7.4301909191367166</c:v>
                </c:pt>
                <c:pt idx="27">
                  <c:v>7.5605316939191942</c:v>
                </c:pt>
                <c:pt idx="28">
                  <c:v>7.6907362826413648</c:v>
                </c:pt>
                <c:pt idx="29">
                  <c:v>7.8208114582559736</c:v>
                </c:pt>
                <c:pt idx="30">
                  <c:v>7.9507635006910684</c:v>
                </c:pt>
                <c:pt idx="31">
                  <c:v>8.080598243570364</c:v>
                </c:pt>
                <c:pt idx="32">
                  <c:v>8.2103211155272646</c:v>
                </c:pt>
                <c:pt idx="33">
                  <c:v>8.3399371768463002</c:v>
                </c:pt>
                <c:pt idx="34">
                  <c:v>8.4694511520521445</c:v>
                </c:pt>
                <c:pt idx="35">
                  <c:v>8.5988674589724283</c:v>
                </c:pt>
                <c:pt idx="36">
                  <c:v>8.7281902347224989</c:v>
                </c:pt>
                <c:pt idx="37">
                  <c:v>8.85742335899522</c:v>
                </c:pt>
                <c:pt idx="38">
                  <c:v>8.9865704749844433</c:v>
                </c:pt>
                <c:pt idx="39">
                  <c:v>9.1156350082248832</c:v>
                </c:pt>
                <c:pt idx="40">
                  <c:v>9.2446201835925663</c:v>
                </c:pt>
                <c:pt idx="41">
                  <c:v>9.3735290406772194</c:v>
                </c:pt>
                <c:pt idx="42">
                  <c:v>9.5023644477101854</c:v>
                </c:pt>
                <c:pt idx="43">
                  <c:v>9.6311291142077469</c:v>
                </c:pt>
                <c:pt idx="44">
                  <c:v>9.7598256024694745</c:v>
                </c:pt>
                <c:pt idx="45">
                  <c:v>9.8884563380537802</c:v>
                </c:pt>
                <c:pt idx="46">
                  <c:v>10.017023619337989</c:v>
                </c:pt>
                <c:pt idx="47">
                  <c:v>10.14552962625725</c:v>
                </c:pt>
                <c:pt idx="48">
                  <c:v>10.273976428305533</c:v>
                </c:pt>
              </c:numCache>
            </c:numRef>
          </c:xVal>
          <c:yVal>
            <c:numRef>
              <c:f>'Data Rs'!$O$80:$O$128</c:f>
              <c:numCache>
                <c:formatCode>0.00</c:formatCode>
                <c:ptCount val="49"/>
                <c:pt idx="0">
                  <c:v>1.2366028991333804E-21</c:v>
                </c:pt>
                <c:pt idx="1">
                  <c:v>8.1890361181586294E-16</c:v>
                </c:pt>
                <c:pt idx="2">
                  <c:v>1.2073354102191837E-11</c:v>
                </c:pt>
                <c:pt idx="3">
                  <c:v>1.1989579108557766E-8</c:v>
                </c:pt>
                <c:pt idx="4">
                  <c:v>1.7402868674774621E-6</c:v>
                </c:pt>
                <c:pt idx="5">
                  <c:v>6.3746652829120511E-5</c:v>
                </c:pt>
                <c:pt idx="6">
                  <c:v>8.6799296298957398E-4</c:v>
                </c:pt>
                <c:pt idx="7">
                  <c:v>5.7901077321434614E-3</c:v>
                </c:pt>
                <c:pt idx="8">
                  <c:v>2.3056218559550517E-2</c:v>
                </c:pt>
                <c:pt idx="9">
                  <c:v>6.3165108560935573E-2</c:v>
                </c:pt>
                <c:pt idx="10">
                  <c:v>0.13188388660221476</c:v>
                </c:pt>
                <c:pt idx="11">
                  <c:v>0.22596821941279618</c:v>
                </c:pt>
                <c:pt idx="12">
                  <c:v>0.33520546338154655</c:v>
                </c:pt>
                <c:pt idx="13">
                  <c:v>0.44758476829816274</c:v>
                </c:pt>
                <c:pt idx="14">
                  <c:v>0.55338538089472444</c:v>
                </c:pt>
                <c:pt idx="15">
                  <c:v>0.64672802171558164</c:v>
                </c:pt>
                <c:pt idx="16">
                  <c:v>0.72525584629810247</c:v>
                </c:pt>
                <c:pt idx="17">
                  <c:v>0.78906222213595811</c:v>
                </c:pt>
                <c:pt idx="18">
                  <c:v>0.83960595413555927</c:v>
                </c:pt>
                <c:pt idx="19">
                  <c:v>0.87890787652703806</c:v>
                </c:pt>
                <c:pt idx="20">
                  <c:v>0.90905796724792298</c:v>
                </c:pt>
                <c:pt idx="21">
                  <c:v>0.93196104228062915</c:v>
                </c:pt>
                <c:pt idx="22">
                  <c:v>0.94923547680957854</c:v>
                </c:pt>
                <c:pt idx="23">
                  <c:v>0.96219770910084801</c:v>
                </c:pt>
                <c:pt idx="24">
                  <c:v>0.97188835559834053</c:v>
                </c:pt>
                <c:pt idx="25">
                  <c:v>0.97911414006793274</c:v>
                </c:pt>
                <c:pt idx="26">
                  <c:v>0.98449206795054311</c:v>
                </c:pt>
                <c:pt idx="27">
                  <c:v>0.98848958300404655</c:v>
                </c:pt>
                <c:pt idx="28">
                  <c:v>0.99145845199334759</c:v>
                </c:pt>
                <c:pt idx="29">
                  <c:v>0.99366213591888564</c:v>
                </c:pt>
                <c:pt idx="30">
                  <c:v>0.99529729657313148</c:v>
                </c:pt>
                <c:pt idx="31">
                  <c:v>0.99651038777127832</c:v>
                </c:pt>
                <c:pt idx="32">
                  <c:v>0.99741029552629012</c:v>
                </c:pt>
                <c:pt idx="33">
                  <c:v>0.99807788492885852</c:v>
                </c:pt>
                <c:pt idx="34">
                  <c:v>0.99857316712142674</c:v>
                </c:pt>
                <c:pt idx="35">
                  <c:v>0.99894065679929378</c:v>
                </c:pt>
                <c:pt idx="36">
                  <c:v>0.99921336517124515</c:v>
                </c:pt>
                <c:pt idx="37">
                  <c:v>0.99941576977193414</c:v>
                </c:pt>
                <c:pt idx="38">
                  <c:v>0.99956602016743068</c:v>
                </c:pt>
                <c:pt idx="39">
                  <c:v>0.99967757460091355</c:v>
                </c:pt>
                <c:pt idx="40">
                  <c:v>0.99976041365446688</c:v>
                </c:pt>
                <c:pt idx="41">
                  <c:v>0.99982193991814805</c:v>
                </c:pt>
                <c:pt idx="42">
                  <c:v>0.99986764477592849</c:v>
                </c:pt>
                <c:pt idx="43">
                  <c:v>0.9999016025608839</c:v>
                </c:pt>
                <c:pt idx="44">
                  <c:v>0.99992683678399308</c:v>
                </c:pt>
                <c:pt idx="45">
                  <c:v>0.99994559157872465</c:v>
                </c:pt>
                <c:pt idx="46">
                  <c:v>0.99995953291974593</c:v>
                </c:pt>
                <c:pt idx="47">
                  <c:v>0.99996989780848067</c:v>
                </c:pt>
                <c:pt idx="48">
                  <c:v>0.99997760490102761</c:v>
                </c:pt>
              </c:numCache>
            </c:numRef>
          </c:yVal>
          <c:smooth val="0"/>
        </c:ser>
        <c:ser>
          <c:idx val="0"/>
          <c:order val="1"/>
          <c:tx>
            <c:v>Measured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chemeClr val="tx1"/>
              </a:solidFill>
            </c:spPr>
          </c:marker>
          <c:xVal>
            <c:numRef>
              <c:f>'Data Rs'!$P$25:$P$38</c:f>
              <c:numCache>
                <c:formatCode>0.00</c:formatCode>
                <c:ptCount val="14"/>
                <c:pt idx="0">
                  <c:v>4.6698892807926278</c:v>
                </c:pt>
                <c:pt idx="1">
                  <c:v>5.2893963366346508</c:v>
                </c:pt>
                <c:pt idx="2">
                  <c:v>5.4793963366346521</c:v>
                </c:pt>
                <c:pt idx="3">
                  <c:v>5.4293963366346514</c:v>
                </c:pt>
                <c:pt idx="4">
                  <c:v>5.6844510053176567</c:v>
                </c:pt>
                <c:pt idx="5">
                  <c:v>6.2163726663631351</c:v>
                </c:pt>
                <c:pt idx="6">
                  <c:v>6.5139054789253441</c:v>
                </c:pt>
                <c:pt idx="7">
                  <c:v>6.3481425756163183</c:v>
                </c:pt>
                <c:pt idx="8">
                  <c:v>6.8691108151645723</c:v>
                </c:pt>
                <c:pt idx="9">
                  <c:v>7.1497407537871487</c:v>
                </c:pt>
                <c:pt idx="10">
                  <c:v>7.3327724498462308</c:v>
                </c:pt>
                <c:pt idx="12">
                  <c:v>7.8264669364037429</c:v>
                </c:pt>
                <c:pt idx="13">
                  <c:v>8.8246863004409342</c:v>
                </c:pt>
              </c:numCache>
            </c:numRef>
          </c:xVal>
          <c:yVal>
            <c:numRef>
              <c:f>'Data Rs'!$O$25:$O$38</c:f>
              <c:numCache>
                <c:formatCode>0.00</c:formatCode>
                <c:ptCount val="14"/>
                <c:pt idx="0">
                  <c:v>7.4837293549549029E-3</c:v>
                </c:pt>
                <c:pt idx="1">
                  <c:v>0.11456858420963939</c:v>
                </c:pt>
                <c:pt idx="2">
                  <c:v>0.11073905172875176</c:v>
                </c:pt>
                <c:pt idx="3">
                  <c:v>0.28964338429687947</c:v>
                </c:pt>
                <c:pt idx="4">
                  <c:v>0.62343821629801455</c:v>
                </c:pt>
                <c:pt idx="5">
                  <c:v>0.67049655803613661</c:v>
                </c:pt>
                <c:pt idx="6">
                  <c:v>0.64718843864203723</c:v>
                </c:pt>
                <c:pt idx="7">
                  <c:v>0.82828873638698042</c:v>
                </c:pt>
                <c:pt idx="8">
                  <c:v>0</c:v>
                </c:pt>
                <c:pt idx="9">
                  <c:v>0.97467467699671195</c:v>
                </c:pt>
                <c:pt idx="10">
                  <c:v>1.0449350054882296</c:v>
                </c:pt>
                <c:pt idx="12">
                  <c:v>0.99798298605934455</c:v>
                </c:pt>
                <c:pt idx="13">
                  <c:v>1.0481564518098045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8679040"/>
        <c:axId val="118681600"/>
      </c:scatterChart>
      <c:valAx>
        <c:axId val="118679040"/>
        <c:scaling>
          <c:orientation val="minMax"/>
          <c:max val="10"/>
          <c:min val="3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log(K</a:t>
                </a:r>
                <a:r>
                  <a:rPr lang="en-US" sz="1200" baseline="-25000"/>
                  <a:t>pw</a:t>
                </a:r>
                <a:r>
                  <a:rPr lang="en-US" sz="1200"/>
                  <a:t> M</a:t>
                </a:r>
                <a:r>
                  <a:rPr lang="en-US" sz="1200" baseline="30000"/>
                  <a:t>0.47</a:t>
                </a:r>
                <a:r>
                  <a:rPr lang="en-US" sz="1200"/>
                  <a:t>)</a:t>
                </a:r>
              </a:p>
            </c:rich>
          </c:tx>
          <c:layout>
            <c:manualLayout>
              <c:xMode val="edge"/>
              <c:yMode val="edge"/>
              <c:x val="0.45454010871591871"/>
              <c:y val="0.936908482193626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8681600"/>
        <c:crosses val="autoZero"/>
        <c:crossBetween val="midCat"/>
        <c:majorUnit val="1"/>
      </c:valAx>
      <c:valAx>
        <c:axId val="1186816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/>
                  <a:t>Zadržená</a:t>
                </a:r>
                <a:r>
                  <a:rPr lang="cs-CZ" baseline="0"/>
                  <a:t> frakce PRC</a:t>
                </a:r>
                <a:endParaRPr lang="cs-CZ"/>
              </a:p>
            </c:rich>
          </c:tx>
          <c:layout>
            <c:manualLayout>
              <c:xMode val="edge"/>
              <c:yMode val="edge"/>
              <c:x val="0"/>
              <c:y val="0.2878414461623839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11867904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302439654059853"/>
          <c:y val="0.52777944568020863"/>
          <c:w val="0.2367944102615589"/>
          <c:h val="0.1024308919790571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17909406935835145"/>
          <c:y val="5.3392918276519832E-2"/>
          <c:w val="0.77184795052214328"/>
          <c:h val="0.75659672975660575"/>
        </c:manualLayout>
      </c:layout>
      <c:scatterChart>
        <c:scatterStyle val="lineMarker"/>
        <c:varyColors val="0"/>
        <c:ser>
          <c:idx val="0"/>
          <c:order val="0"/>
          <c:tx>
            <c:strRef>
              <c:f>'Data Cw'!$D$39</c:f>
              <c:strCache>
                <c:ptCount val="1"/>
                <c:pt idx="0">
                  <c:v>Příklad1</c:v>
                </c:pt>
              </c:strCache>
            </c:strRef>
          </c:tx>
          <c:spPr>
            <a:ln w="28575">
              <a:noFill/>
            </a:ln>
          </c:spPr>
          <c:xVal>
            <c:numRef>
              <c:f>'Data Cw'!$A$7:$A$19</c:f>
              <c:numCache>
                <c:formatCode>0.00</c:formatCode>
                <c:ptCount val="13"/>
                <c:pt idx="0">
                  <c:v>5.983285623690997</c:v>
                </c:pt>
                <c:pt idx="1">
                  <c:v>6.4908855875426212</c:v>
                </c:pt>
                <c:pt idx="2">
                  <c:v>6.9670001485812358</c:v>
                </c:pt>
                <c:pt idx="3">
                  <c:v>7.1499423607065928</c:v>
                </c:pt>
                <c:pt idx="4">
                  <c:v>7.4398510646483373</c:v>
                </c:pt>
                <c:pt idx="5">
                  <c:v>7.415733510086044</c:v>
                </c:pt>
                <c:pt idx="6">
                  <c:v>4.58</c:v>
                </c:pt>
                <c:pt idx="7">
                  <c:v>4.96</c:v>
                </c:pt>
                <c:pt idx="8">
                  <c:v>5.3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xVal>
          <c:yVal>
            <c:numRef>
              <c:f>'Data Cw'!$D$24:$D$36</c:f>
              <c:numCache>
                <c:formatCode>0.00</c:formatCode>
                <c:ptCount val="13"/>
                <c:pt idx="0">
                  <c:v>0.11680287621905205</c:v>
                </c:pt>
                <c:pt idx="1">
                  <c:v>3.4888758246082285E-2</c:v>
                </c:pt>
                <c:pt idx="2">
                  <c:v>1.0993634182381307E-2</c:v>
                </c:pt>
                <c:pt idx="3">
                  <c:v>7.2280809730510542E-3</c:v>
                </c:pt>
                <c:pt idx="4">
                  <c:v>3.4933049135954519E-3</c:v>
                </c:pt>
                <c:pt idx="5">
                  <c:v>3.6924164992163666E-3</c:v>
                </c:pt>
                <c:pt idx="6">
                  <c:v>0.92095388452821336</c:v>
                </c:pt>
                <c:pt idx="7">
                  <c:v>0.65281565258784835</c:v>
                </c:pt>
                <c:pt idx="8">
                  <c:v>0.38341143699973801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0766336"/>
        <c:axId val="130768256"/>
      </c:scatterChart>
      <c:valAx>
        <c:axId val="130766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1000" b="1" i="0" u="none" strike="noStrike" baseline="0">
                    <a:solidFill>
                      <a:srgbClr val="000000"/>
                    </a:solidFill>
                    <a:latin typeface="Calibri"/>
                  </a:rPr>
                  <a:t>Log K</a:t>
                </a:r>
                <a:r>
                  <a:rPr lang="cs-CZ" sz="1200" b="1" i="0" u="none" strike="noStrike" baseline="-25000">
                    <a:solidFill>
                      <a:srgbClr val="000000"/>
                    </a:solidFill>
                    <a:latin typeface="Calibri"/>
                  </a:rPr>
                  <a:t>pw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0768256"/>
        <c:crosses val="autoZero"/>
        <c:crossBetween val="midCat"/>
      </c:valAx>
      <c:valAx>
        <c:axId val="130768256"/>
        <c:scaling>
          <c:orientation val="minMax"/>
          <c:max val="1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DEQ (stupe</a:t>
                </a:r>
                <a:r>
                  <a:rPr lang="sk-SK"/>
                  <a:t>ň</a:t>
                </a:r>
                <a:r>
                  <a:rPr lang="sk-SK" baseline="0"/>
                  <a:t> rovnováhy</a:t>
                </a:r>
                <a:r>
                  <a:rPr lang="en-US"/>
                  <a:t>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crossAx val="130766336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21542588094041462"/>
          <c:y val="0.10248447204968963"/>
          <c:w val="0.1648939660467974"/>
          <c:h val="0.18322981366459629"/>
        </c:manualLayout>
      </c:layout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586740</xdr:colOff>
      <xdr:row>0</xdr:row>
      <xdr:rowOff>137160</xdr:rowOff>
    </xdr:from>
    <xdr:to>
      <xdr:col>22</xdr:col>
      <xdr:colOff>693420</xdr:colOff>
      <xdr:row>15</xdr:row>
      <xdr:rowOff>160020</xdr:rowOff>
    </xdr:to>
    <xdr:graphicFrame macro="">
      <xdr:nvGraphicFramePr>
        <xdr:cNvPr id="15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443739</xdr:colOff>
      <xdr:row>0</xdr:row>
      <xdr:rowOff>242940</xdr:rowOff>
    </xdr:from>
    <xdr:to>
      <xdr:col>12</xdr:col>
      <xdr:colOff>293245</xdr:colOff>
      <xdr:row>17</xdr:row>
      <xdr:rowOff>128629</xdr:rowOff>
    </xdr:to>
    <xdr:sp macro="" textlink="">
      <xdr:nvSpPr>
        <xdr:cNvPr id="1139" name="Text Box 5"/>
        <xdr:cNvSpPr txBox="1">
          <a:spLocks noChangeArrowheads="1"/>
        </xdr:cNvSpPr>
      </xdr:nvSpPr>
      <xdr:spPr bwMode="auto">
        <a:xfrm>
          <a:off x="5429396" y="242940"/>
          <a:ext cx="5107306" cy="412023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/>
        <a:lstStyle/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ist je určen pro maximálně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to 20 PRC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látek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 18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vzorků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Vyplň modrá pole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 </a:t>
          </a:r>
          <a:r>
            <a:rPr lang="cs-CZ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Nepoužitá pole</a:t>
          </a: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-&gt; </a:t>
          </a:r>
          <a:r>
            <a:rPr lang="cs-CZ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ponechte prázdná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2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 Jestli jsou pou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žity zkratky sloučenin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(E39:58)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podle těch uvedených v listu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SR_Kpw ,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Kpw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M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se autoamticky načítají z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SR_Kpw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 vloží do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C39:C58  </a:t>
          </a:r>
        </a:p>
        <a:p>
          <a:pPr algn="l" rtl="0">
            <a:defRPr sz="1000"/>
          </a:pP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3.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Nebo vyplň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Kpw a M manu</a:t>
          </a:r>
          <a:r>
            <a:rPr lang="sk-SK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álně pro látky, které nejsou uvedeny v listu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SR_Kpw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5.  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Vlož označení vzorků do řádku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F3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:W3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5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6. 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Vlož hmotnost vzorkovače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(g),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 dobu expozice </a:t>
          </a:r>
          <a:r>
            <a:rPr lang="en-US" sz="1100" b="0" i="1" u="none" strike="noStrike" baseline="0">
              <a:solidFill>
                <a:srgbClr val="000000"/>
              </a:solidFill>
              <a:latin typeface="Calibri"/>
              <a:cs typeface="Calibri"/>
            </a:rPr>
            <a:t>t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(d),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do řádků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F36:W36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a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F37:W37,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(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řádek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38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zůstává nepoužit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7.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Vlož experimentální hodnoty zadržené frakce PRC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exp f data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do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E39:W58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se zkratkou názvu sloučeniny v prvním sloupci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8. Zvol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</a:t>
          </a:r>
          <a:r>
            <a:rPr lang="cs-CZ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Data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&gt;</a:t>
          </a:r>
          <a:r>
            <a:rPr lang="sk-SK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Řešitel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(</a:t>
          </a:r>
          <a:r>
            <a:rPr lang="sk-SK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Data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.&gt; Solver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)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8.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Stiskni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</a:t>
          </a:r>
          <a:r>
            <a:rPr lang="sk-SK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Řešit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 (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cílová buňka je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D26 a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optimalizovatelné parametry jsou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F23:W23)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9.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 případě, že není nalezeno řešení, vlož hodnotu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"100"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pro všechny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FA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hodnoty a opakuj bod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8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ZKONTROLUJ řešení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10.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Proluistuj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pole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"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Výběr ID vzorku do grafu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"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 buňce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J21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pro grafy s výsledky optimalizace pro různé vzorky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Levý graf zobrazuje optimalizovanou čáru a naměřené hodnoty f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Pravý graf zobrazuje residua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 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11.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 případĚ potřeby je možno vyloučit data smazáním nebo vložením apostrofu před hodnotu 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.</a:t>
          </a:r>
        </a:p>
        <a:p>
          <a:pPr algn="l" rtl="0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12.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Po ukončení procedury se výsledky v celách</a:t>
          </a:r>
          <a:r>
            <a:rPr lang="en-US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C22:W31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zkopírují do cílového souboru.</a:t>
          </a:r>
          <a:endParaRPr lang="en-US"/>
        </a:p>
      </xdr:txBody>
    </xdr:sp>
    <xdr:clientData/>
  </xdr:twoCellAnchor>
  <xdr:twoCellAnchor editAs="oneCell">
    <xdr:from>
      <xdr:col>12</xdr:col>
      <xdr:colOff>624840</xdr:colOff>
      <xdr:row>0</xdr:row>
      <xdr:rowOff>137160</xdr:rowOff>
    </xdr:from>
    <xdr:to>
      <xdr:col>17</xdr:col>
      <xdr:colOff>586740</xdr:colOff>
      <xdr:row>15</xdr:row>
      <xdr:rowOff>160020</xdr:rowOff>
    </xdr:to>
    <xdr:graphicFrame macro="">
      <xdr:nvGraphicFramePr>
        <xdr:cNvPr id="15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739140</xdr:colOff>
      <xdr:row>16</xdr:row>
      <xdr:rowOff>297180</xdr:rowOff>
    </xdr:from>
    <xdr:to>
      <xdr:col>13</xdr:col>
      <xdr:colOff>502920</xdr:colOff>
      <xdr:row>19</xdr:row>
      <xdr:rowOff>198120</xdr:rowOff>
    </xdr:to>
    <xdr:sp macro="" textlink="">
      <xdr:nvSpPr>
        <xdr:cNvPr id="1573" name="Line 17"/>
        <xdr:cNvSpPr>
          <a:spLocks noChangeShapeType="1"/>
        </xdr:cNvSpPr>
      </xdr:nvSpPr>
      <xdr:spPr bwMode="auto">
        <a:xfrm flipH="1">
          <a:off x="8709660" y="3619500"/>
          <a:ext cx="3009900" cy="1173480"/>
        </a:xfrm>
        <a:prstGeom prst="line">
          <a:avLst/>
        </a:prstGeom>
        <a:noFill/>
        <a:ln w="28575">
          <a:solidFill>
            <a:srgbClr val="00FF00"/>
          </a:solidFill>
          <a:round/>
          <a:headEnd/>
          <a:tailEnd type="triangle" w="lg" len="lg"/>
        </a:ln>
      </xdr:spPr>
    </xdr:sp>
    <xdr:clientData/>
  </xdr:twoCellAnchor>
  <xdr:twoCellAnchor>
    <xdr:from>
      <xdr:col>0</xdr:col>
      <xdr:colOff>124447</xdr:colOff>
      <xdr:row>9</xdr:row>
      <xdr:rowOff>77450</xdr:rowOff>
    </xdr:from>
    <xdr:to>
      <xdr:col>4</xdr:col>
      <xdr:colOff>777853</xdr:colOff>
      <xdr:row>14</xdr:row>
      <xdr:rowOff>115550</xdr:rowOff>
    </xdr:to>
    <xdr:sp macro="" textlink="">
      <xdr:nvSpPr>
        <xdr:cNvPr id="1143" name="Text Box 119"/>
        <xdr:cNvSpPr txBox="1">
          <a:spLocks noChangeArrowheads="1"/>
        </xdr:cNvSpPr>
      </xdr:nvSpPr>
      <xdr:spPr bwMode="auto">
        <a:xfrm>
          <a:off x="124447" y="1788062"/>
          <a:ext cx="4416753" cy="9711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sk-SK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Soubor pro odhad vzorkovací rychlosti</a:t>
          </a:r>
          <a:br>
            <a:rPr lang="sk-SK" sz="1800" b="0" i="0" u="none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sk-SK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Rs</a:t>
          </a:r>
          <a:r>
            <a:rPr lang="en-US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sk-SK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s odhadem chyby</a:t>
          </a:r>
          <a:endParaRPr lang="en-US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0.1683</cdr:x>
      <cdr:y>0.32814</cdr:y>
    </cdr:from>
    <cdr:to>
      <cdr:x>0.53992</cdr:x>
      <cdr:y>0.49127</cdr:y>
    </cdr:to>
    <cdr:sp macro="" textlink="'Rs kalkulace Altesil MW'!$H$6">
      <cdr:nvSpPr>
        <cdr:cNvPr id="204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617099" y="1086239"/>
          <a:ext cx="1333600" cy="5464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fld id="{74CE56B2-B206-4B6B-8743-D68AA1BEE199}" type="TxLink"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l" rtl="0">
              <a:defRPr sz="1000"/>
            </a:pPr>
            <a:t>Rs=18,8 (±3,1)</a:t>
          </a:fld>
          <a:endParaRPr lang="cs-CZ" sz="9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274320</xdr:colOff>
      <xdr:row>22</xdr:row>
      <xdr:rowOff>22860</xdr:rowOff>
    </xdr:from>
    <xdr:to>
      <xdr:col>20</xdr:col>
      <xdr:colOff>419100</xdr:colOff>
      <xdr:row>48</xdr:row>
      <xdr:rowOff>22860</xdr:rowOff>
    </xdr:to>
    <xdr:graphicFrame macro="">
      <xdr:nvGraphicFramePr>
        <xdr:cNvPr id="2529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255270</xdr:colOff>
      <xdr:row>6</xdr:row>
      <xdr:rowOff>55245</xdr:rowOff>
    </xdr:from>
    <xdr:to>
      <xdr:col>13</xdr:col>
      <xdr:colOff>7620</xdr:colOff>
      <xdr:row>9</xdr:row>
      <xdr:rowOff>91440</xdr:rowOff>
    </xdr:to>
    <xdr:sp macro="" textlink="">
      <xdr:nvSpPr>
        <xdr:cNvPr id="3" name="Text Box 23"/>
        <xdr:cNvSpPr txBox="1">
          <a:spLocks noChangeArrowheads="1"/>
        </xdr:cNvSpPr>
      </xdr:nvSpPr>
      <xdr:spPr bwMode="auto">
        <a:xfrm>
          <a:off x="1619250" y="1068705"/>
          <a:ext cx="5551170" cy="53911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Postup odhadu vzorkovací rychlosti </a:t>
          </a:r>
          <a:r>
            <a:rPr lang="cs-CZ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R</a:t>
          </a:r>
          <a:r>
            <a:rPr lang="en-US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s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 </a:t>
          </a:r>
          <a:r>
            <a:rPr lang="cs-CZ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látek a </a:t>
          </a: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paramtr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u</a:t>
          </a: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FA</a:t>
          </a:r>
          <a:r>
            <a:rPr lang="sk-SK" sz="1400" b="0" i="1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z procenta eliminace PRC látek během expozice vzorkovače ve vodě</a:t>
          </a:r>
          <a:endParaRPr lang="en-US" i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48</xdr:row>
          <xdr:rowOff>28575</xdr:rowOff>
        </xdr:from>
        <xdr:to>
          <xdr:col>8</xdr:col>
          <xdr:colOff>333375</xdr:colOff>
          <xdr:row>53</xdr:row>
          <xdr:rowOff>9525</xdr:rowOff>
        </xdr:to>
        <xdr:sp macro="" textlink="">
          <xdr:nvSpPr>
            <xdr:cNvPr id="252929" name="Object 1" hidden="1">
              <a:extLst>
                <a:ext uri="{63B3BB69-23CF-44E3-9099-C40C66FF867C}">
                  <a14:compatExt spid="_x0000_s25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48</xdr:row>
          <xdr:rowOff>19050</xdr:rowOff>
        </xdr:from>
        <xdr:to>
          <xdr:col>9</xdr:col>
          <xdr:colOff>171450</xdr:colOff>
          <xdr:row>53</xdr:row>
          <xdr:rowOff>85725</xdr:rowOff>
        </xdr:to>
        <xdr:sp macro="" textlink="">
          <xdr:nvSpPr>
            <xdr:cNvPr id="252930" name="Object 2" hidden="1">
              <a:extLst>
                <a:ext uri="{63B3BB69-23CF-44E3-9099-C40C66FF867C}">
                  <a14:compatExt spid="_x0000_s25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26</xdr:row>
          <xdr:rowOff>104775</xdr:rowOff>
        </xdr:from>
        <xdr:to>
          <xdr:col>9</xdr:col>
          <xdr:colOff>66675</xdr:colOff>
          <xdr:row>31</xdr:row>
          <xdr:rowOff>180975</xdr:rowOff>
        </xdr:to>
        <xdr:sp macro="" textlink="">
          <xdr:nvSpPr>
            <xdr:cNvPr id="252931" name="Object 3" hidden="1">
              <a:extLst>
                <a:ext uri="{63B3BB69-23CF-44E3-9099-C40C66FF867C}">
                  <a14:compatExt spid="_x0000_s25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65</xdr:row>
          <xdr:rowOff>76200</xdr:rowOff>
        </xdr:from>
        <xdr:to>
          <xdr:col>9</xdr:col>
          <xdr:colOff>590550</xdr:colOff>
          <xdr:row>67</xdr:row>
          <xdr:rowOff>171450</xdr:rowOff>
        </xdr:to>
        <xdr:sp macro="" textlink="">
          <xdr:nvSpPr>
            <xdr:cNvPr id="252932" name="Object 4" hidden="1">
              <a:extLst>
                <a:ext uri="{63B3BB69-23CF-44E3-9099-C40C66FF867C}">
                  <a14:compatExt spid="_x0000_s25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0.15621</cdr:x>
      <cdr:y>0.15127</cdr:y>
    </cdr:from>
    <cdr:to>
      <cdr:x>0.36959</cdr:x>
      <cdr:y>0.20957</cdr:y>
    </cdr:to>
    <cdr:sp macro="" textlink="'Data Rs'!$Q$40">
      <cdr:nvSpPr>
        <cdr:cNvPr id="2" name="TextBox 1"/>
        <cdr:cNvSpPr txBox="1"/>
      </cdr:nvSpPr>
      <cdr:spPr>
        <a:xfrm xmlns:a="http://schemas.openxmlformats.org/drawingml/2006/main">
          <a:off x="609600" y="571501"/>
          <a:ext cx="8382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548640</xdr:colOff>
      <xdr:row>20</xdr:row>
      <xdr:rowOff>144780</xdr:rowOff>
    </xdr:from>
    <xdr:to>
      <xdr:col>16</xdr:col>
      <xdr:colOff>350520</xdr:colOff>
      <xdr:row>35</xdr:row>
      <xdr:rowOff>68580</xdr:rowOff>
    </xdr:to>
    <xdr:graphicFrame macro="">
      <xdr:nvGraphicFramePr>
        <xdr:cNvPr id="254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651510</xdr:colOff>
      <xdr:row>8</xdr:row>
      <xdr:rowOff>53340</xdr:rowOff>
    </xdr:from>
    <xdr:to>
      <xdr:col>11</xdr:col>
      <xdr:colOff>314316</xdr:colOff>
      <xdr:row>12</xdr:row>
      <xdr:rowOff>62865</xdr:rowOff>
    </xdr:to>
    <xdr:sp macro="" textlink="">
      <xdr:nvSpPr>
        <xdr:cNvPr id="3" name="Text Box 34"/>
        <xdr:cNvSpPr txBox="1">
          <a:spLocks noChangeArrowheads="1"/>
        </xdr:cNvSpPr>
      </xdr:nvSpPr>
      <xdr:spPr bwMode="auto">
        <a:xfrm>
          <a:off x="3486150" y="1394460"/>
          <a:ext cx="4730106" cy="68008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Postup odhadu koncentrace ve vodn</a:t>
          </a:r>
          <a:r>
            <a:rPr lang="sk-SK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í fázi použitím parametru FA z </a:t>
          </a:r>
          <a:r>
            <a:rPr lang="en-US" sz="1400" b="0" i="0" u="none" strike="noStrike" baseline="0">
              <a:solidFill>
                <a:srgbClr val="000000"/>
              </a:solidFill>
              <a:latin typeface="Arial"/>
              <a:cs typeface="Arial"/>
            </a:rPr>
            <a:t>Data Rs</a:t>
          </a:r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26</xdr:row>
          <xdr:rowOff>152400</xdr:rowOff>
        </xdr:from>
        <xdr:to>
          <xdr:col>9</xdr:col>
          <xdr:colOff>209550</xdr:colOff>
          <xdr:row>32</xdr:row>
          <xdr:rowOff>95250</xdr:rowOff>
        </xdr:to>
        <xdr:sp macro="" textlink="">
          <xdr:nvSpPr>
            <xdr:cNvPr id="253953" name="Object 1" hidden="1">
              <a:extLst>
                <a:ext uri="{63B3BB69-23CF-44E3-9099-C40C66FF867C}">
                  <a14:compatExt spid="_x0000_s253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41</xdr:row>
          <xdr:rowOff>152400</xdr:rowOff>
        </xdr:from>
        <xdr:to>
          <xdr:col>8</xdr:col>
          <xdr:colOff>561975</xdr:colOff>
          <xdr:row>47</xdr:row>
          <xdr:rowOff>95250</xdr:rowOff>
        </xdr:to>
        <xdr:sp macro="" textlink="">
          <xdr:nvSpPr>
            <xdr:cNvPr id="253954" name="Object 2" hidden="1">
              <a:extLst>
                <a:ext uri="{63B3BB69-23CF-44E3-9099-C40C66FF867C}">
                  <a14:compatExt spid="_x0000_s253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59</xdr:row>
          <xdr:rowOff>28575</xdr:rowOff>
        </xdr:from>
        <xdr:to>
          <xdr:col>8</xdr:col>
          <xdr:colOff>76200</xdr:colOff>
          <xdr:row>64</xdr:row>
          <xdr:rowOff>171450</xdr:rowOff>
        </xdr:to>
        <xdr:sp macro="" textlink="">
          <xdr:nvSpPr>
            <xdr:cNvPr id="253955" name="Object 3" hidden="1">
              <a:extLst>
                <a:ext uri="{63B3BB69-23CF-44E3-9099-C40C66FF867C}">
                  <a14:compatExt spid="_x0000_s253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391795</xdr:colOff>
      <xdr:row>1</xdr:row>
      <xdr:rowOff>154940</xdr:rowOff>
    </xdr:from>
    <xdr:to>
      <xdr:col>10</xdr:col>
      <xdr:colOff>584835</xdr:colOff>
      <xdr:row>9</xdr:row>
      <xdr:rowOff>134620</xdr:rowOff>
    </xdr:to>
    <xdr:sp macro="" textlink="">
      <xdr:nvSpPr>
        <xdr:cNvPr id="3074" name="Rectangle 2"/>
        <xdr:cNvSpPr>
          <a:spLocks noChangeArrowheads="1"/>
        </xdr:cNvSpPr>
      </xdr:nvSpPr>
      <xdr:spPr bwMode="auto">
        <a:xfrm>
          <a:off x="5248275" y="347980"/>
          <a:ext cx="3505200" cy="1381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Hodnoty 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K</a:t>
          </a:r>
          <a:r>
            <a:rPr lang="cs-CZ" sz="1000" b="0" i="0" strike="noStrike" baseline="-25000">
              <a:solidFill>
                <a:srgbClr val="000000"/>
              </a:solidFill>
              <a:latin typeface="Arial"/>
              <a:cs typeface="Arial"/>
            </a:rPr>
            <a:t>pw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byly</a:t>
          </a:r>
          <a:r>
            <a:rPr lang="en-US" sz="1000" b="0" i="0" strike="noStrike" baseline="0">
              <a:solidFill>
                <a:srgbClr val="000000"/>
              </a:solidFill>
              <a:latin typeface="Arial"/>
              <a:cs typeface="Arial"/>
            </a:rPr>
            <a:t> p</a:t>
          </a:r>
          <a:r>
            <a:rPr lang="sk-SK" sz="1000" b="0" i="0" strike="noStrike" baseline="0">
              <a:solidFill>
                <a:srgbClr val="000000"/>
              </a:solidFill>
              <a:latin typeface="Arial"/>
              <a:cs typeface="Arial"/>
            </a:rPr>
            <a:t>řevzaty z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  <a:p>
          <a:pPr algn="l" rtl="1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Smedes a</a:t>
          </a:r>
          <a:r>
            <a:rPr lang="cs-CZ" sz="1000" b="0" i="0" strike="noStrike" baseline="0">
              <a:solidFill>
                <a:srgbClr val="000000"/>
              </a:solidFill>
              <a:latin typeface="Arial"/>
              <a:cs typeface="Arial"/>
            </a:rPr>
            <a:t> kol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. ES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&amp;</a:t>
          </a: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T 43_7047–7054, 2009.</a:t>
          </a:r>
        </a:p>
        <a:p>
          <a:pPr algn="l" rtl="1">
            <a:defRPr sz="1000"/>
          </a:pP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cs-CZ" sz="1000" b="0" i="0" strike="noStrike">
              <a:solidFill>
                <a:srgbClr val="000000"/>
              </a:solidFill>
              <a:latin typeface="Arial"/>
              <a:cs typeface="Arial"/>
            </a:rPr>
            <a:t>nebo byly</a:t>
          </a:r>
          <a:r>
            <a:rPr lang="cs-CZ" sz="1000" b="0" i="0" strike="noStrike" baseline="0">
              <a:solidFill>
                <a:srgbClr val="000000"/>
              </a:solidFill>
              <a:latin typeface="Arial"/>
              <a:cs typeface="Arial"/>
            </a:rPr>
            <a:t> experimentálně stanoveny jako součást </a:t>
          </a:r>
        </a:p>
        <a:p>
          <a:pPr algn="l" rtl="1">
            <a:defRPr sz="1000"/>
          </a:pPr>
          <a:r>
            <a:rPr lang="cs-CZ" sz="1000" b="0" i="0" strike="noStrike" baseline="0">
              <a:solidFill>
                <a:srgbClr val="000000"/>
              </a:solidFill>
              <a:latin typeface="Arial"/>
              <a:cs typeface="Arial"/>
            </a:rPr>
            <a:t>Nmet </a:t>
          </a:r>
        </a:p>
        <a:p>
          <a:pPr algn="l" rtl="1">
            <a:defRPr sz="1000"/>
          </a:pPr>
          <a:r>
            <a:rPr lang="cs-CZ" sz="1000">
              <a:latin typeface="+mn-lt"/>
              <a:ea typeface="+mn-ea"/>
              <a:cs typeface="+mn-cs"/>
            </a:rPr>
            <a:t>„</a:t>
          </a:r>
          <a:r>
            <a:rPr lang="cs-CZ" sz="1000" b="1" i="1">
              <a:latin typeface="+mn-lt"/>
              <a:ea typeface="+mn-ea"/>
              <a:cs typeface="+mn-cs"/>
            </a:rPr>
            <a:t>Metodika pasivního vzorkování pro sledování polybromovaných difenyletherů a jiných hydrofobních kontaminantů ve vodním prostředí</a:t>
          </a:r>
          <a:r>
            <a:rPr lang="cs-CZ" sz="1000">
              <a:latin typeface="+mn-lt"/>
              <a:ea typeface="+mn-ea"/>
              <a:cs typeface="+mn-cs"/>
            </a:rPr>
            <a:t>“, která je výsledkem projektu TAČR Emertox</a:t>
          </a:r>
          <a:r>
            <a:rPr lang="cs-CZ" sz="1000" b="0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cs-CZ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rana@recetox.muni.c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omments" Target="../comments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7.bin"/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5.emf"/><Relationship Id="rId10" Type="http://schemas.openxmlformats.org/officeDocument/2006/relationships/comments" Target="../comments3.xml"/><Relationship Id="rId4" Type="http://schemas.openxmlformats.org/officeDocument/2006/relationships/oleObject" Target="../embeddings/oleObject5.bin"/><Relationship Id="rId9" Type="http://schemas.openxmlformats.org/officeDocument/2006/relationships/image" Target="../media/image7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1"/>
  </sheetPr>
  <dimension ref="A1:D22"/>
  <sheetViews>
    <sheetView topLeftCell="A25" workbookViewId="0">
      <selection activeCell="A2" sqref="A2"/>
    </sheetView>
  </sheetViews>
  <sheetFormatPr defaultRowHeight="12.75" x14ac:dyDescent="0.2"/>
  <cols>
    <col min="1" max="1" width="73.28515625" style="91" customWidth="1"/>
    <col min="2" max="2" width="7" customWidth="1"/>
    <col min="3" max="3" width="15.42578125" style="1" customWidth="1"/>
  </cols>
  <sheetData>
    <row r="1" spans="1:3" x14ac:dyDescent="0.2">
      <c r="A1" s="109"/>
    </row>
    <row r="2" spans="1:3" ht="76.5" customHeight="1" x14ac:dyDescent="0.2">
      <c r="A2" s="108" t="s">
        <v>107</v>
      </c>
      <c r="C2"/>
    </row>
    <row r="3" spans="1:3" s="110" customFormat="1" ht="36.75" customHeight="1" x14ac:dyDescent="0.2">
      <c r="A3" s="111" t="s">
        <v>108</v>
      </c>
      <c r="C3"/>
    </row>
    <row r="4" spans="1:3" ht="75" x14ac:dyDescent="0.2">
      <c r="A4" s="94" t="s">
        <v>110</v>
      </c>
    </row>
    <row r="5" spans="1:3" ht="63" x14ac:dyDescent="0.2">
      <c r="A5" s="95" t="s">
        <v>111</v>
      </c>
    </row>
    <row r="6" spans="1:3" x14ac:dyDescent="0.2">
      <c r="A6" s="109" t="s">
        <v>109</v>
      </c>
    </row>
    <row r="8" spans="1:3" ht="25.5" x14ac:dyDescent="0.2">
      <c r="A8" s="93" t="s">
        <v>112</v>
      </c>
    </row>
    <row r="9" spans="1:3" ht="45" x14ac:dyDescent="0.2">
      <c r="A9" s="92" t="s">
        <v>104</v>
      </c>
    </row>
    <row r="10" spans="1:3" ht="25.5" x14ac:dyDescent="0.2">
      <c r="A10" s="93" t="s">
        <v>113</v>
      </c>
    </row>
    <row r="11" spans="1:3" ht="36" customHeight="1" x14ac:dyDescent="0.2">
      <c r="A11" s="92" t="s">
        <v>301</v>
      </c>
    </row>
    <row r="12" spans="1:3" ht="45" x14ac:dyDescent="0.2">
      <c r="A12" s="92" t="s">
        <v>105</v>
      </c>
    </row>
    <row r="13" spans="1:3" x14ac:dyDescent="0.2">
      <c r="A13" s="93" t="s">
        <v>114</v>
      </c>
    </row>
    <row r="14" spans="1:3" ht="33.75" x14ac:dyDescent="0.2">
      <c r="A14" s="92" t="s">
        <v>103</v>
      </c>
    </row>
    <row r="15" spans="1:3" x14ac:dyDescent="0.2">
      <c r="A15" s="107" t="s">
        <v>115</v>
      </c>
    </row>
    <row r="16" spans="1:3" ht="22.5" x14ac:dyDescent="0.2">
      <c r="A16" s="92" t="s">
        <v>106</v>
      </c>
    </row>
    <row r="17" spans="1:4" x14ac:dyDescent="0.2">
      <c r="A17" s="119"/>
      <c r="B17" s="113"/>
      <c r="C17" s="120"/>
      <c r="D17" s="113"/>
    </row>
    <row r="18" spans="1:4" x14ac:dyDescent="0.2">
      <c r="D18" s="113"/>
    </row>
    <row r="19" spans="1:4" x14ac:dyDescent="0.2">
      <c r="D19" s="113"/>
    </row>
    <row r="20" spans="1:4" x14ac:dyDescent="0.2">
      <c r="D20" s="113"/>
    </row>
    <row r="21" spans="1:4" x14ac:dyDescent="0.2">
      <c r="D21" s="113"/>
    </row>
    <row r="22" spans="1:4" x14ac:dyDescent="0.2">
      <c r="D22" s="113"/>
    </row>
  </sheetData>
  <phoneticPr fontId="3" type="noConversion"/>
  <hyperlinks>
    <hyperlink ref="A6" r:id="rId1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 enableFormatConditionsCalculation="0">
    <tabColor indexed="43"/>
  </sheetPr>
  <dimension ref="A1:AA172"/>
  <sheetViews>
    <sheetView zoomScale="70" zoomScaleNormal="70" workbookViewId="0">
      <selection activeCell="E17" sqref="E17"/>
    </sheetView>
  </sheetViews>
  <sheetFormatPr defaultColWidth="9.140625" defaultRowHeight="15" x14ac:dyDescent="0.25"/>
  <cols>
    <col min="1" max="1" width="14.85546875" style="4" customWidth="1"/>
    <col min="2" max="2" width="7.28515625" style="4" customWidth="1"/>
    <col min="3" max="3" width="17.28515625" style="4" customWidth="1"/>
    <col min="4" max="4" width="15.28515625" style="4" customWidth="1"/>
    <col min="5" max="5" width="17.7109375" style="4" customWidth="1"/>
    <col min="6" max="6" width="10.85546875" style="4" customWidth="1"/>
    <col min="7" max="9" width="10.85546875" style="6" customWidth="1"/>
    <col min="10" max="10" width="14.7109375" style="6" customWidth="1"/>
    <col min="11" max="19" width="10.85546875" style="6" customWidth="1"/>
    <col min="20" max="21" width="10.85546875" style="4" customWidth="1"/>
    <col min="22" max="22" width="9.28515625" style="7" bestFit="1" customWidth="1"/>
    <col min="23" max="23" width="11" style="7" bestFit="1" customWidth="1"/>
    <col min="24" max="16384" width="9.140625" style="7"/>
  </cols>
  <sheetData>
    <row r="1" spans="1:20" ht="20.25" x14ac:dyDescent="0.25">
      <c r="B1" s="215" t="s">
        <v>0</v>
      </c>
    </row>
    <row r="2" spans="1:20" ht="22.5" x14ac:dyDescent="0.35">
      <c r="B2" s="212" t="s">
        <v>220</v>
      </c>
      <c r="C2" s="211"/>
      <c r="D2" s="211"/>
      <c r="E2" s="211" t="s">
        <v>219</v>
      </c>
    </row>
    <row r="3" spans="1:20" ht="18" x14ac:dyDescent="0.25">
      <c r="B3" s="213" t="s">
        <v>130</v>
      </c>
      <c r="C3" s="97"/>
      <c r="D3" s="97"/>
      <c r="E3" s="213" t="s">
        <v>128</v>
      </c>
      <c r="M3" s="8"/>
    </row>
    <row r="4" spans="1:20" ht="18" x14ac:dyDescent="0.25">
      <c r="B4" s="213" t="s">
        <v>131</v>
      </c>
      <c r="C4" s="213"/>
      <c r="D4" s="213"/>
      <c r="E4" s="213" t="s">
        <v>1</v>
      </c>
      <c r="M4" s="8"/>
    </row>
    <row r="5" spans="1:20" ht="18" x14ac:dyDescent="0.25">
      <c r="B5" s="214" t="s">
        <v>132</v>
      </c>
      <c r="C5" s="97"/>
      <c r="D5" s="97"/>
      <c r="E5" s="213" t="s">
        <v>137</v>
      </c>
      <c r="J5" s="9"/>
      <c r="M5" s="8"/>
    </row>
    <row r="6" spans="1:20" ht="18" x14ac:dyDescent="0.25">
      <c r="B6" s="213" t="s">
        <v>129</v>
      </c>
      <c r="C6" s="97"/>
      <c r="D6" s="97"/>
      <c r="E6" s="97"/>
      <c r="H6" s="6" t="str">
        <f>"Rs="&amp;FIXED(A29,1)&amp;" (±"&amp;FIXED(A30,1)&amp;")"</f>
        <v>Rs=18,8 (±3,1)</v>
      </c>
    </row>
    <row r="7" spans="1:20" ht="18" x14ac:dyDescent="0.25">
      <c r="B7" s="213" t="s">
        <v>133</v>
      </c>
      <c r="C7" s="97"/>
      <c r="D7" s="97"/>
      <c r="E7" s="97"/>
      <c r="M7" s="8"/>
      <c r="N7" s="8"/>
      <c r="O7" s="8"/>
      <c r="P7" s="8"/>
      <c r="Q7" s="8"/>
      <c r="R7" s="8"/>
      <c r="S7" s="8"/>
      <c r="T7" s="10"/>
    </row>
    <row r="8" spans="1:20" ht="18" x14ac:dyDescent="0.25">
      <c r="B8" s="213" t="s">
        <v>134</v>
      </c>
      <c r="C8" s="97"/>
      <c r="D8" s="97"/>
      <c r="E8" s="97"/>
    </row>
    <row r="12" spans="1:20" x14ac:dyDescent="0.25">
      <c r="F12" s="6"/>
    </row>
    <row r="13" spans="1:20" x14ac:dyDescent="0.25">
      <c r="D13" s="5"/>
      <c r="G13" s="4"/>
      <c r="H13" s="4"/>
      <c r="I13" s="4"/>
      <c r="J13" s="4"/>
    </row>
    <row r="14" spans="1:20" x14ac:dyDescent="0.25">
      <c r="D14" s="5"/>
    </row>
    <row r="15" spans="1:20" x14ac:dyDescent="0.25">
      <c r="A15" s="5"/>
      <c r="B15" s="5"/>
      <c r="C15" s="5"/>
      <c r="D15" s="5"/>
      <c r="E15" s="5"/>
    </row>
    <row r="16" spans="1:20" x14ac:dyDescent="0.25">
      <c r="F16" s="11"/>
      <c r="M16" s="8"/>
      <c r="N16" s="8"/>
      <c r="O16" s="8"/>
      <c r="P16" s="8"/>
      <c r="Q16" s="8"/>
      <c r="R16" s="8"/>
      <c r="S16" s="8"/>
      <c r="T16" s="10"/>
    </row>
    <row r="17" spans="1:23" ht="72" x14ac:dyDescent="0.25">
      <c r="A17" s="13" t="s">
        <v>116</v>
      </c>
      <c r="G17" s="4"/>
      <c r="H17" s="4"/>
      <c r="I17" s="4"/>
      <c r="M17" s="8"/>
      <c r="N17" s="8"/>
      <c r="O17" s="8"/>
      <c r="P17" s="8"/>
      <c r="Q17" s="8"/>
      <c r="R17" s="8"/>
      <c r="S17" s="8"/>
      <c r="T17" s="10"/>
    </row>
    <row r="18" spans="1:23" x14ac:dyDescent="0.25"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3" x14ac:dyDescent="0.25"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</row>
    <row r="20" spans="1:23" ht="19.5" customHeight="1" thickBot="1" x14ac:dyDescent="0.3">
      <c r="A20" s="4">
        <f>ROW(A21)-ROW($A$21)</f>
        <v>0</v>
      </c>
      <c r="F20" s="5"/>
      <c r="G20" s="5"/>
      <c r="H20" s="5"/>
      <c r="I20" s="5"/>
      <c r="J20" s="96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s="102" customFormat="1" ht="19.5" customHeight="1" thickBot="1" x14ac:dyDescent="0.35">
      <c r="A21" s="97">
        <f>ROW(A22)-ROW($A$22)</f>
        <v>0</v>
      </c>
      <c r="B21" s="98"/>
      <c r="C21" s="98"/>
      <c r="D21" s="99"/>
      <c r="E21" s="99"/>
      <c r="F21" s="99"/>
      <c r="G21" s="99"/>
      <c r="H21" s="99"/>
      <c r="I21" s="100" t="s">
        <v>117</v>
      </c>
      <c r="J21" s="103" t="s">
        <v>200</v>
      </c>
      <c r="K21" s="101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</row>
    <row r="22" spans="1:23" x14ac:dyDescent="0.25">
      <c r="A22" s="16" t="str">
        <f>INDEX($F$22:$W$98,ROW(A22)+1-ROW($A$22),MATCH($J$21,$F$22:$W$22,))</f>
        <v>Priklad 1</v>
      </c>
      <c r="B22" s="14"/>
      <c r="C22" s="15" t="s">
        <v>118</v>
      </c>
      <c r="D22" s="16"/>
      <c r="E22" s="17" t="s">
        <v>136</v>
      </c>
      <c r="F22" s="16" t="str">
        <f t="shared" ref="F22:W22" si="0">F35</f>
        <v>Priklad 1</v>
      </c>
      <c r="G22" s="16" t="str">
        <f t="shared" si="0"/>
        <v>Priklad 2</v>
      </c>
      <c r="H22" s="16" t="str">
        <f t="shared" si="0"/>
        <v>Priklad 3</v>
      </c>
      <c r="I22" s="16" t="str">
        <f t="shared" si="0"/>
        <v>Priklad  4</v>
      </c>
      <c r="J22" s="16" t="str">
        <f t="shared" si="0"/>
        <v>Priklad 5</v>
      </c>
      <c r="K22" s="16" t="str">
        <f t="shared" si="0"/>
        <v>Priklad 6</v>
      </c>
      <c r="L22" s="16" t="str">
        <f t="shared" si="0"/>
        <v>Priklad 7</v>
      </c>
      <c r="M22" s="16" t="str">
        <f t="shared" si="0"/>
        <v>Priklad 8</v>
      </c>
      <c r="N22" s="16">
        <f t="shared" si="0"/>
        <v>0</v>
      </c>
      <c r="O22" s="16">
        <f t="shared" si="0"/>
        <v>0</v>
      </c>
      <c r="P22" s="16">
        <f t="shared" si="0"/>
        <v>0</v>
      </c>
      <c r="Q22" s="16">
        <f t="shared" si="0"/>
        <v>0</v>
      </c>
      <c r="R22" s="16">
        <f t="shared" si="0"/>
        <v>0</v>
      </c>
      <c r="S22" s="16">
        <f t="shared" si="0"/>
        <v>0</v>
      </c>
      <c r="T22" s="16">
        <f t="shared" si="0"/>
        <v>0</v>
      </c>
      <c r="U22" s="16">
        <f t="shared" si="0"/>
        <v>0</v>
      </c>
      <c r="V22" s="16">
        <f t="shared" si="0"/>
        <v>0</v>
      </c>
      <c r="W22" s="18">
        <f t="shared" si="0"/>
        <v>0</v>
      </c>
    </row>
    <row r="23" spans="1:23" x14ac:dyDescent="0.25">
      <c r="A23" s="21">
        <f t="shared" ref="A23:A31" si="1">INDEX($F$22:$W$98,ROW(A23)+1-ROW($A$22),MATCH($J$21,$F$22:$W$22,))</f>
        <v>274.48484569488403</v>
      </c>
      <c r="B23" s="14"/>
      <c r="C23" s="19" t="s">
        <v>123</v>
      </c>
      <c r="D23" s="20"/>
      <c r="E23" s="14" t="s">
        <v>2</v>
      </c>
      <c r="F23" s="21">
        <v>274.48484569488403</v>
      </c>
      <c r="G23" s="21">
        <v>158.81100018237649</v>
      </c>
      <c r="H23" s="21">
        <v>287.3850248804298</v>
      </c>
      <c r="I23" s="21">
        <v>919.58847140071703</v>
      </c>
      <c r="J23" s="21">
        <v>373.8040635503279</v>
      </c>
      <c r="K23" s="21">
        <v>450.84108245757625</v>
      </c>
      <c r="L23" s="21">
        <v>403.38933574665839</v>
      </c>
      <c r="M23" s="21">
        <v>292.91557068484349</v>
      </c>
      <c r="N23" s="21">
        <v>20</v>
      </c>
      <c r="O23" s="21">
        <v>20</v>
      </c>
      <c r="P23" s="21">
        <v>20</v>
      </c>
      <c r="Q23" s="21">
        <v>20</v>
      </c>
      <c r="R23" s="21">
        <v>20</v>
      </c>
      <c r="S23" s="21">
        <v>20</v>
      </c>
      <c r="T23" s="21">
        <v>20</v>
      </c>
      <c r="U23" s="21">
        <v>20</v>
      </c>
      <c r="V23" s="21">
        <v>20</v>
      </c>
      <c r="W23" s="22">
        <v>20</v>
      </c>
    </row>
    <row r="24" spans="1:23" x14ac:dyDescent="0.25">
      <c r="A24" s="25">
        <f t="shared" si="1"/>
        <v>44.807269043422281</v>
      </c>
      <c r="B24" s="14"/>
      <c r="C24" s="24" t="s">
        <v>3</v>
      </c>
      <c r="D24" s="20"/>
      <c r="E24" s="14" t="s">
        <v>4</v>
      </c>
      <c r="F24" s="25">
        <f t="shared" ref="F24:W24" si="2">IF(F$28&lt;1,"",SQRT(1/SUMSQ(F85:F106))*F27)</f>
        <v>44.807269043422281</v>
      </c>
      <c r="G24" s="25">
        <f t="shared" si="2"/>
        <v>26.556845118356133</v>
      </c>
      <c r="H24" s="25">
        <f t="shared" si="2"/>
        <v>66.886171341217377</v>
      </c>
      <c r="I24" s="25">
        <f t="shared" si="2"/>
        <v>272.0398821361311</v>
      </c>
      <c r="J24" s="25">
        <f t="shared" si="2"/>
        <v>61.768298418283109</v>
      </c>
      <c r="K24" s="25">
        <f t="shared" si="2"/>
        <v>92.140719517838221</v>
      </c>
      <c r="L24" s="25">
        <f t="shared" si="2"/>
        <v>66.889704539109161</v>
      </c>
      <c r="M24" s="25">
        <f t="shared" si="2"/>
        <v>39.151679350255783</v>
      </c>
      <c r="N24" s="25" t="str">
        <f t="shared" si="2"/>
        <v/>
      </c>
      <c r="O24" s="25" t="str">
        <f t="shared" si="2"/>
        <v/>
      </c>
      <c r="P24" s="25" t="str">
        <f t="shared" si="2"/>
        <v/>
      </c>
      <c r="Q24" s="25" t="str">
        <f t="shared" si="2"/>
        <v/>
      </c>
      <c r="R24" s="25" t="str">
        <f t="shared" si="2"/>
        <v/>
      </c>
      <c r="S24" s="25" t="str">
        <f t="shared" si="2"/>
        <v/>
      </c>
      <c r="T24" s="25" t="str">
        <f t="shared" si="2"/>
        <v/>
      </c>
      <c r="U24" s="25" t="str">
        <f t="shared" si="2"/>
        <v/>
      </c>
      <c r="V24" s="25" t="str">
        <f t="shared" si="2"/>
        <v/>
      </c>
      <c r="W24" s="26" t="str">
        <f t="shared" si="2"/>
        <v/>
      </c>
    </row>
    <row r="25" spans="1:23" x14ac:dyDescent="0.25">
      <c r="A25" s="27">
        <f t="shared" si="1"/>
        <v>0.16324132186601592</v>
      </c>
      <c r="B25" s="14"/>
      <c r="C25" s="24"/>
      <c r="D25" s="20"/>
      <c r="E25" s="14" t="s">
        <v>5</v>
      </c>
      <c r="F25" s="27">
        <f t="shared" ref="F25:W25" si="3">IF(ISERROR(1/F24),"",F24/F23)</f>
        <v>0.16324132186601592</v>
      </c>
      <c r="G25" s="27">
        <f t="shared" si="3"/>
        <v>0.16722295740130469</v>
      </c>
      <c r="H25" s="27">
        <f t="shared" si="3"/>
        <v>0.23274062860111178</v>
      </c>
      <c r="I25" s="27">
        <f t="shared" si="3"/>
        <v>0.29582785191049643</v>
      </c>
      <c r="J25" s="27">
        <f t="shared" si="3"/>
        <v>0.16524244769202945</v>
      </c>
      <c r="K25" s="27">
        <f t="shared" si="3"/>
        <v>0.20437516256409172</v>
      </c>
      <c r="L25" s="27">
        <f t="shared" si="3"/>
        <v>0.16581921883308801</v>
      </c>
      <c r="M25" s="27">
        <f t="shared" si="3"/>
        <v>0.13366199433754319</v>
      </c>
      <c r="N25" s="27" t="str">
        <f t="shared" si="3"/>
        <v/>
      </c>
      <c r="O25" s="27" t="str">
        <f t="shared" si="3"/>
        <v/>
      </c>
      <c r="P25" s="27" t="str">
        <f t="shared" si="3"/>
        <v/>
      </c>
      <c r="Q25" s="27" t="str">
        <f t="shared" si="3"/>
        <v/>
      </c>
      <c r="R25" s="27" t="str">
        <f t="shared" si="3"/>
        <v/>
      </c>
      <c r="S25" s="27" t="str">
        <f t="shared" si="3"/>
        <v/>
      </c>
      <c r="T25" s="27" t="str">
        <f t="shared" si="3"/>
        <v/>
      </c>
      <c r="U25" s="27" t="str">
        <f t="shared" si="3"/>
        <v/>
      </c>
      <c r="V25" s="27" t="str">
        <f t="shared" si="3"/>
        <v/>
      </c>
      <c r="W25" s="27" t="str">
        <f t="shared" si="3"/>
        <v/>
      </c>
    </row>
    <row r="26" spans="1:23" x14ac:dyDescent="0.25">
      <c r="A26" s="29">
        <f t="shared" si="1"/>
        <v>7.2951855514101688E-2</v>
      </c>
      <c r="B26" s="14"/>
      <c r="C26" s="19" t="s">
        <v>6</v>
      </c>
      <c r="D26" s="28">
        <f>SUM(F26:W26)</f>
        <v>0.62333049269581708</v>
      </c>
      <c r="E26" s="14" t="s">
        <v>7</v>
      </c>
      <c r="F26" s="29">
        <f t="shared" ref="F26:W26" si="4">IF(F$28&lt;1,"",SUMXMY2(F39:F60,F62:F83))</f>
        <v>7.2951855514101688E-2</v>
      </c>
      <c r="G26" s="29">
        <f t="shared" si="4"/>
        <v>5.1370358433287001E-2</v>
      </c>
      <c r="H26" s="29">
        <f t="shared" si="4"/>
        <v>0.13263113816053612</v>
      </c>
      <c r="I26" s="29">
        <f t="shared" si="4"/>
        <v>0.14169833571713167</v>
      </c>
      <c r="J26" s="29">
        <f t="shared" si="4"/>
        <v>5.1058876317560016E-2</v>
      </c>
      <c r="K26" s="29">
        <f t="shared" si="4"/>
        <v>7.47224779159084E-2</v>
      </c>
      <c r="L26" s="29">
        <f t="shared" si="4"/>
        <v>5.9047441012553124E-2</v>
      </c>
      <c r="M26" s="29">
        <f t="shared" si="4"/>
        <v>3.9850009624739148E-2</v>
      </c>
      <c r="N26" s="29" t="str">
        <f t="shared" si="4"/>
        <v/>
      </c>
      <c r="O26" s="29" t="str">
        <f t="shared" si="4"/>
        <v/>
      </c>
      <c r="P26" s="29" t="str">
        <f t="shared" si="4"/>
        <v/>
      </c>
      <c r="Q26" s="29" t="str">
        <f t="shared" si="4"/>
        <v/>
      </c>
      <c r="R26" s="29" t="str">
        <f t="shared" si="4"/>
        <v/>
      </c>
      <c r="S26" s="29" t="str">
        <f t="shared" si="4"/>
        <v/>
      </c>
      <c r="T26" s="29" t="str">
        <f t="shared" si="4"/>
        <v/>
      </c>
      <c r="U26" s="29" t="str">
        <f t="shared" si="4"/>
        <v/>
      </c>
      <c r="V26" s="29" t="str">
        <f t="shared" si="4"/>
        <v/>
      </c>
      <c r="W26" s="30" t="str">
        <f t="shared" si="4"/>
        <v/>
      </c>
    </row>
    <row r="27" spans="1:23" x14ac:dyDescent="0.25">
      <c r="A27" s="31">
        <f t="shared" si="1"/>
        <v>0.11026623502089665</v>
      </c>
      <c r="B27" s="14"/>
      <c r="C27" s="24" t="s">
        <v>304</v>
      </c>
      <c r="D27" s="20"/>
      <c r="E27" s="14" t="s">
        <v>8</v>
      </c>
      <c r="F27" s="31">
        <f t="shared" ref="F27:W27" si="5">IF(F$28&lt;1,"",SQRT(F26/F28))</f>
        <v>0.11026623502089665</v>
      </c>
      <c r="G27" s="31">
        <f t="shared" si="5"/>
        <v>0.10136109552810388</v>
      </c>
      <c r="H27" s="31">
        <f t="shared" si="5"/>
        <v>0.16286874357011299</v>
      </c>
      <c r="I27" s="31">
        <f t="shared" si="5"/>
        <v>0.16834389547419393</v>
      </c>
      <c r="J27" s="31">
        <f t="shared" si="5"/>
        <v>0.10105332880965379</v>
      </c>
      <c r="K27" s="31">
        <f t="shared" si="5"/>
        <v>0.12224768129981722</v>
      </c>
      <c r="L27" s="31">
        <f t="shared" si="5"/>
        <v>0.10867146912833481</v>
      </c>
      <c r="M27" s="31">
        <f t="shared" si="5"/>
        <v>8.9274867263680821E-2</v>
      </c>
      <c r="N27" s="31" t="str">
        <f t="shared" si="5"/>
        <v/>
      </c>
      <c r="O27" s="31" t="str">
        <f t="shared" si="5"/>
        <v/>
      </c>
      <c r="P27" s="31" t="str">
        <f t="shared" si="5"/>
        <v/>
      </c>
      <c r="Q27" s="31" t="str">
        <f t="shared" si="5"/>
        <v/>
      </c>
      <c r="R27" s="31" t="str">
        <f t="shared" si="5"/>
        <v/>
      </c>
      <c r="S27" s="31" t="str">
        <f t="shared" si="5"/>
        <v/>
      </c>
      <c r="T27" s="31" t="str">
        <f t="shared" si="5"/>
        <v/>
      </c>
      <c r="U27" s="31" t="str">
        <f t="shared" si="5"/>
        <v/>
      </c>
      <c r="V27" s="31" t="str">
        <f t="shared" si="5"/>
        <v/>
      </c>
      <c r="W27" s="32" t="str">
        <f t="shared" si="5"/>
        <v/>
      </c>
    </row>
    <row r="28" spans="1:23" x14ac:dyDescent="0.25">
      <c r="A28" s="33">
        <f t="shared" si="1"/>
        <v>6</v>
      </c>
      <c r="B28" s="14"/>
      <c r="C28" s="19" t="s">
        <v>142</v>
      </c>
      <c r="D28" s="20"/>
      <c r="E28" s="14" t="s">
        <v>9</v>
      </c>
      <c r="F28" s="33">
        <f>IF(E168=1,-1,E168)</f>
        <v>6</v>
      </c>
      <c r="G28" s="33">
        <f t="shared" ref="G28:W28" si="6">IF(F168=1,-1,F168)</f>
        <v>5</v>
      </c>
      <c r="H28" s="33">
        <f t="shared" si="6"/>
        <v>5</v>
      </c>
      <c r="I28" s="33">
        <f t="shared" si="6"/>
        <v>5</v>
      </c>
      <c r="J28" s="33">
        <f t="shared" si="6"/>
        <v>5</v>
      </c>
      <c r="K28" s="33">
        <f t="shared" si="6"/>
        <v>5</v>
      </c>
      <c r="L28" s="33">
        <f t="shared" si="6"/>
        <v>5</v>
      </c>
      <c r="M28" s="33">
        <f t="shared" si="6"/>
        <v>5</v>
      </c>
      <c r="N28" s="33">
        <f t="shared" si="6"/>
        <v>-1</v>
      </c>
      <c r="O28" s="33">
        <f t="shared" si="6"/>
        <v>-1</v>
      </c>
      <c r="P28" s="33">
        <f t="shared" si="6"/>
        <v>-1</v>
      </c>
      <c r="Q28" s="33">
        <f t="shared" si="6"/>
        <v>-1</v>
      </c>
      <c r="R28" s="33">
        <f t="shared" si="6"/>
        <v>-1</v>
      </c>
      <c r="S28" s="33">
        <f t="shared" si="6"/>
        <v>-1</v>
      </c>
      <c r="T28" s="33">
        <f t="shared" si="6"/>
        <v>-1</v>
      </c>
      <c r="U28" s="33">
        <f t="shared" si="6"/>
        <v>-1</v>
      </c>
      <c r="V28" s="33">
        <f t="shared" si="6"/>
        <v>-1</v>
      </c>
      <c r="W28" s="33">
        <f t="shared" si="6"/>
        <v>-1</v>
      </c>
    </row>
    <row r="29" spans="1:23" x14ac:dyDescent="0.25">
      <c r="A29" s="34">
        <f t="shared" si="1"/>
        <v>18.804915330200448</v>
      </c>
      <c r="B29" s="14"/>
      <c r="C29" s="19" t="s">
        <v>124</v>
      </c>
      <c r="D29" s="20" t="s">
        <v>10</v>
      </c>
      <c r="E29" s="14" t="s">
        <v>11</v>
      </c>
      <c r="F29" s="34">
        <f t="shared" ref="F29:W29" si="7">IF(F$28&lt;1,"",(F23*300^-0.47))</f>
        <v>18.804915330200448</v>
      </c>
      <c r="G29" s="34">
        <f t="shared" si="7"/>
        <v>10.880117641371484</v>
      </c>
      <c r="H29" s="34">
        <f t="shared" si="7"/>
        <v>19.688704658221347</v>
      </c>
      <c r="I29" s="34">
        <f t="shared" si="7"/>
        <v>63.000867313970076</v>
      </c>
      <c r="J29" s="34">
        <f t="shared" si="7"/>
        <v>25.609259947860938</v>
      </c>
      <c r="K29" s="34">
        <f t="shared" si="7"/>
        <v>30.887054480285492</v>
      </c>
      <c r="L29" s="34">
        <f t="shared" si="7"/>
        <v>27.636142478532093</v>
      </c>
      <c r="M29" s="34">
        <f t="shared" si="7"/>
        <v>20.067601516146254</v>
      </c>
      <c r="N29" s="34" t="str">
        <f t="shared" si="7"/>
        <v/>
      </c>
      <c r="O29" s="34" t="str">
        <f t="shared" si="7"/>
        <v/>
      </c>
      <c r="P29" s="34" t="str">
        <f t="shared" si="7"/>
        <v/>
      </c>
      <c r="Q29" s="34" t="str">
        <f t="shared" si="7"/>
        <v/>
      </c>
      <c r="R29" s="34" t="str">
        <f t="shared" si="7"/>
        <v/>
      </c>
      <c r="S29" s="34" t="str">
        <f t="shared" si="7"/>
        <v/>
      </c>
      <c r="T29" s="34" t="str">
        <f t="shared" si="7"/>
        <v/>
      </c>
      <c r="U29" s="34" t="str">
        <f t="shared" si="7"/>
        <v/>
      </c>
      <c r="V29" s="34" t="str">
        <f t="shared" si="7"/>
        <v/>
      </c>
      <c r="W29" s="35" t="str">
        <f t="shared" si="7"/>
        <v/>
      </c>
    </row>
    <row r="30" spans="1:23" x14ac:dyDescent="0.25">
      <c r="A30" s="25">
        <f t="shared" si="1"/>
        <v>3.0697392360804288</v>
      </c>
      <c r="B30" s="14"/>
      <c r="C30" s="19" t="s">
        <v>303</v>
      </c>
      <c r="D30" s="20"/>
      <c r="E30" s="14" t="s">
        <v>12</v>
      </c>
      <c r="F30" s="25">
        <f t="shared" ref="F30:W30" si="8">IF(F$28&lt;1,"",F29*F24/F23)</f>
        <v>3.0697392360804288</v>
      </c>
      <c r="G30" s="25">
        <f t="shared" si="8"/>
        <v>1.8194054488642473</v>
      </c>
      <c r="H30" s="25">
        <f t="shared" si="8"/>
        <v>4.5823614984960734</v>
      </c>
      <c r="I30" s="25">
        <f t="shared" si="8"/>
        <v>18.637411245989977</v>
      </c>
      <c r="J30" s="25">
        <f t="shared" si="8"/>
        <v>4.2317367973659961</v>
      </c>
      <c r="K30" s="25">
        <f t="shared" si="8"/>
        <v>6.312546780534305</v>
      </c>
      <c r="L30" s="25">
        <f t="shared" si="8"/>
        <v>4.5826035573501125</v>
      </c>
      <c r="M30" s="25">
        <f t="shared" si="8"/>
        <v>2.6822756402192138</v>
      </c>
      <c r="N30" s="25" t="str">
        <f t="shared" si="8"/>
        <v/>
      </c>
      <c r="O30" s="25" t="str">
        <f t="shared" si="8"/>
        <v/>
      </c>
      <c r="P30" s="25" t="str">
        <f t="shared" si="8"/>
        <v/>
      </c>
      <c r="Q30" s="25" t="str">
        <f t="shared" si="8"/>
        <v/>
      </c>
      <c r="R30" s="25" t="str">
        <f t="shared" si="8"/>
        <v/>
      </c>
      <c r="S30" s="25" t="str">
        <f t="shared" si="8"/>
        <v/>
      </c>
      <c r="T30" s="25" t="str">
        <f t="shared" si="8"/>
        <v/>
      </c>
      <c r="U30" s="25" t="str">
        <f t="shared" si="8"/>
        <v/>
      </c>
      <c r="V30" s="25" t="str">
        <f t="shared" si="8"/>
        <v/>
      </c>
      <c r="W30" s="26" t="str">
        <f t="shared" si="8"/>
        <v/>
      </c>
    </row>
    <row r="31" spans="1:23" x14ac:dyDescent="0.25">
      <c r="A31" s="39">
        <f t="shared" si="1"/>
        <v>3084.0061141528736</v>
      </c>
      <c r="B31" s="14"/>
      <c r="C31" s="37" t="s">
        <v>202</v>
      </c>
      <c r="D31" s="38" t="s">
        <v>13</v>
      </c>
      <c r="E31" s="121" t="s">
        <v>120</v>
      </c>
      <c r="F31" s="39">
        <f t="shared" ref="F31:W31" si="9">IF(F$28&lt;1,"",F29*F37)</f>
        <v>3084.0061141528736</v>
      </c>
      <c r="G31" s="39">
        <f t="shared" si="9"/>
        <v>1218.5731758336062</v>
      </c>
      <c r="H31" s="39">
        <f t="shared" si="9"/>
        <v>551.28373043019769</v>
      </c>
      <c r="I31" s="39">
        <f t="shared" si="9"/>
        <v>2142.0294886749825</v>
      </c>
      <c r="J31" s="39">
        <f t="shared" si="9"/>
        <v>1613.3833767152391</v>
      </c>
      <c r="K31" s="39">
        <f t="shared" si="9"/>
        <v>1266.3692336917052</v>
      </c>
      <c r="L31" s="39">
        <f t="shared" si="9"/>
        <v>773.81198939889862</v>
      </c>
      <c r="M31" s="39">
        <f t="shared" si="9"/>
        <v>702.36605306511888</v>
      </c>
      <c r="N31" s="39" t="str">
        <f t="shared" si="9"/>
        <v/>
      </c>
      <c r="O31" s="39" t="str">
        <f t="shared" si="9"/>
        <v/>
      </c>
      <c r="P31" s="39" t="str">
        <f t="shared" si="9"/>
        <v/>
      </c>
      <c r="Q31" s="39" t="str">
        <f t="shared" si="9"/>
        <v/>
      </c>
      <c r="R31" s="39" t="str">
        <f t="shared" si="9"/>
        <v/>
      </c>
      <c r="S31" s="39" t="str">
        <f t="shared" si="9"/>
        <v/>
      </c>
      <c r="T31" s="39" t="str">
        <f t="shared" si="9"/>
        <v/>
      </c>
      <c r="U31" s="39" t="str">
        <f t="shared" si="9"/>
        <v/>
      </c>
      <c r="V31" s="39" t="str">
        <f t="shared" si="9"/>
        <v/>
      </c>
      <c r="W31" s="40" t="str">
        <f t="shared" si="9"/>
        <v/>
      </c>
    </row>
    <row r="32" spans="1:23" x14ac:dyDescent="0.25">
      <c r="A32" s="36"/>
      <c r="B32" s="14"/>
      <c r="C32" s="41"/>
      <c r="D32" s="14"/>
      <c r="E32" s="14" t="s">
        <v>119</v>
      </c>
      <c r="F32" s="42">
        <f t="shared" ref="F32:W32" si="10">F37</f>
        <v>164</v>
      </c>
      <c r="G32" s="42">
        <f t="shared" si="10"/>
        <v>112</v>
      </c>
      <c r="H32" s="42">
        <f t="shared" si="10"/>
        <v>28</v>
      </c>
      <c r="I32" s="42">
        <f t="shared" si="10"/>
        <v>34</v>
      </c>
      <c r="J32" s="42">
        <f t="shared" si="10"/>
        <v>63</v>
      </c>
      <c r="K32" s="42">
        <f t="shared" si="10"/>
        <v>41</v>
      </c>
      <c r="L32" s="42">
        <f t="shared" si="10"/>
        <v>28</v>
      </c>
      <c r="M32" s="42">
        <f t="shared" si="10"/>
        <v>35</v>
      </c>
      <c r="N32" s="42">
        <f t="shared" si="10"/>
        <v>0</v>
      </c>
      <c r="O32" s="42">
        <f t="shared" si="10"/>
        <v>0</v>
      </c>
      <c r="P32" s="42">
        <f t="shared" si="10"/>
        <v>0</v>
      </c>
      <c r="Q32" s="42">
        <f t="shared" si="10"/>
        <v>0</v>
      </c>
      <c r="R32" s="42">
        <f t="shared" si="10"/>
        <v>0</v>
      </c>
      <c r="S32" s="42">
        <f t="shared" si="10"/>
        <v>0</v>
      </c>
      <c r="T32" s="42">
        <f t="shared" si="10"/>
        <v>0</v>
      </c>
      <c r="U32" s="42">
        <f t="shared" si="10"/>
        <v>0</v>
      </c>
      <c r="V32" s="42">
        <f t="shared" si="10"/>
        <v>0</v>
      </c>
      <c r="W32" s="42">
        <f t="shared" si="10"/>
        <v>0</v>
      </c>
    </row>
    <row r="33" spans="1:23" x14ac:dyDescent="0.25">
      <c r="A33" s="43"/>
      <c r="C33" s="4" t="s">
        <v>121</v>
      </c>
      <c r="E33" s="5" t="s">
        <v>126</v>
      </c>
      <c r="F33" s="44">
        <f t="shared" ref="F33:U33" si="11">F36/1000</f>
        <v>2.2359999999999998E-2</v>
      </c>
      <c r="G33" s="44">
        <f t="shared" si="11"/>
        <v>2.2249999999999999E-2</v>
      </c>
      <c r="H33" s="44">
        <f t="shared" si="11"/>
        <v>1.9120000000000002E-2</v>
      </c>
      <c r="I33" s="44">
        <f t="shared" si="11"/>
        <v>2.0199999999999999E-2</v>
      </c>
      <c r="J33" s="44">
        <f t="shared" si="11"/>
        <v>1.9179999999999999E-2</v>
      </c>
      <c r="K33" s="44">
        <f t="shared" si="11"/>
        <v>1.9969999999999998E-2</v>
      </c>
      <c r="L33" s="44">
        <f t="shared" si="11"/>
        <v>1.966E-2</v>
      </c>
      <c r="M33" s="44">
        <f t="shared" si="11"/>
        <v>1.9089999999999999E-2</v>
      </c>
      <c r="N33" s="44">
        <f t="shared" si="11"/>
        <v>0</v>
      </c>
      <c r="O33" s="44">
        <f t="shared" si="11"/>
        <v>0</v>
      </c>
      <c r="P33" s="44">
        <f t="shared" si="11"/>
        <v>0</v>
      </c>
      <c r="Q33" s="44">
        <f t="shared" si="11"/>
        <v>0</v>
      </c>
      <c r="R33" s="44">
        <f t="shared" si="11"/>
        <v>0</v>
      </c>
      <c r="S33" s="44">
        <f t="shared" si="11"/>
        <v>0</v>
      </c>
      <c r="T33" s="44">
        <f t="shared" si="11"/>
        <v>0</v>
      </c>
      <c r="U33" s="44">
        <f t="shared" si="11"/>
        <v>0</v>
      </c>
      <c r="V33" s="44"/>
      <c r="W33" s="44">
        <f>W36/1000</f>
        <v>0</v>
      </c>
    </row>
    <row r="34" spans="1:23" ht="15.75" thickBot="1" x14ac:dyDescent="0.3">
      <c r="A34" s="43"/>
      <c r="F34" s="5"/>
      <c r="G34" s="4"/>
      <c r="H34" s="4"/>
      <c r="I34" s="4"/>
      <c r="J34" s="4"/>
      <c r="K34" s="4"/>
      <c r="L34" s="4"/>
      <c r="M34" s="4"/>
      <c r="N34" s="4"/>
      <c r="O34" s="4"/>
      <c r="P34" s="45"/>
      <c r="Q34" s="45"/>
      <c r="R34" s="45"/>
      <c r="S34" s="45"/>
      <c r="T34" s="46"/>
      <c r="V34" s="4"/>
      <c r="W34" s="4"/>
    </row>
    <row r="35" spans="1:23" x14ac:dyDescent="0.25">
      <c r="A35" s="43" t="s">
        <v>122</v>
      </c>
      <c r="C35" s="3" t="s">
        <v>125</v>
      </c>
      <c r="E35" s="47" t="s">
        <v>102</v>
      </c>
      <c r="F35" s="125" t="s">
        <v>200</v>
      </c>
      <c r="G35" s="125" t="s">
        <v>201</v>
      </c>
      <c r="H35" s="125" t="s">
        <v>203</v>
      </c>
      <c r="I35" s="125" t="s">
        <v>204</v>
      </c>
      <c r="J35" s="125" t="s">
        <v>299</v>
      </c>
      <c r="K35" s="125" t="s">
        <v>205</v>
      </c>
      <c r="L35" s="125" t="s">
        <v>206</v>
      </c>
      <c r="M35" s="125" t="s">
        <v>207</v>
      </c>
      <c r="N35" s="48"/>
      <c r="O35" s="48"/>
      <c r="P35" s="48"/>
      <c r="Q35" s="48"/>
      <c r="R35" s="48"/>
      <c r="S35" s="48"/>
      <c r="T35" s="48"/>
      <c r="U35" s="48"/>
      <c r="V35" s="49"/>
      <c r="W35" s="50"/>
    </row>
    <row r="36" spans="1:23" x14ac:dyDescent="0.25">
      <c r="A36" s="21">
        <f>INDEX($F$22:$W$98,ROW(A36)+1-ROW($A$22),MATCH($J$21,$F$35:$W$35,))</f>
        <v>22.36</v>
      </c>
      <c r="B36" s="5"/>
      <c r="C36" s="6" t="s">
        <v>14</v>
      </c>
      <c r="D36" s="5" t="s">
        <v>127</v>
      </c>
      <c r="E36" s="51" t="s">
        <v>14</v>
      </c>
      <c r="F36" s="52">
        <v>22.36</v>
      </c>
      <c r="G36" s="52">
        <v>22.25</v>
      </c>
      <c r="H36" s="52">
        <v>19.12</v>
      </c>
      <c r="I36" s="52">
        <v>20.2</v>
      </c>
      <c r="J36" s="52">
        <v>19.18</v>
      </c>
      <c r="K36" s="52">
        <v>19.97</v>
      </c>
      <c r="L36" s="52">
        <v>19.66</v>
      </c>
      <c r="M36" s="52">
        <v>19.09</v>
      </c>
      <c r="N36" s="53"/>
      <c r="O36" s="53"/>
      <c r="P36" s="53"/>
      <c r="Q36" s="53"/>
      <c r="R36" s="53"/>
      <c r="S36" s="53"/>
      <c r="T36" s="53"/>
      <c r="U36" s="53"/>
      <c r="V36" s="54"/>
      <c r="W36" s="55"/>
    </row>
    <row r="37" spans="1:23" ht="15.75" thickBot="1" x14ac:dyDescent="0.3">
      <c r="A37" s="21">
        <f>INDEX($F$22:$W$98,ROW(A37)+1-ROW($A$22),MATCH($J$21,$F$35:$W$35,))</f>
        <v>164</v>
      </c>
      <c r="C37" s="6" t="s">
        <v>15</v>
      </c>
      <c r="D37" s="5" t="s">
        <v>135</v>
      </c>
      <c r="E37" s="51" t="s">
        <v>15</v>
      </c>
      <c r="F37" s="56">
        <v>164</v>
      </c>
      <c r="G37" s="56">
        <v>112</v>
      </c>
      <c r="H37" s="56">
        <v>28</v>
      </c>
      <c r="I37" s="56">
        <v>34</v>
      </c>
      <c r="J37" s="56">
        <v>63</v>
      </c>
      <c r="K37" s="56">
        <v>41</v>
      </c>
      <c r="L37" s="56">
        <v>28</v>
      </c>
      <c r="M37" s="56">
        <v>35</v>
      </c>
      <c r="N37" s="53"/>
      <c r="O37" s="53"/>
      <c r="P37" s="53"/>
      <c r="Q37" s="53"/>
      <c r="R37" s="53"/>
      <c r="S37" s="53"/>
      <c r="T37" s="53"/>
      <c r="U37" s="53"/>
      <c r="V37" s="54"/>
      <c r="W37" s="57"/>
    </row>
    <row r="38" spans="1:23" x14ac:dyDescent="0.25">
      <c r="A38" s="43" t="s">
        <v>16</v>
      </c>
      <c r="C38" s="58" t="s">
        <v>17</v>
      </c>
      <c r="D38" s="5" t="s">
        <v>18</v>
      </c>
      <c r="E38" s="51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4"/>
      <c r="W38" s="57"/>
    </row>
    <row r="39" spans="1:23" x14ac:dyDescent="0.25">
      <c r="A39" s="23" t="e">
        <f t="shared" ref="A39:A60" si="12">IF(ISERROR(1/INDEX($F$22:$W$98,ROW(A39)+1-ROW($A$22),MATCH($J$21,$F$22:$W$22,))),#N/A,INDEX($F$22:$W$98,ROW(A39)+1-ROW($A$22),MATCH($J$21,$F$22:$W$22,)))</f>
        <v>#N/A</v>
      </c>
      <c r="B39" s="59">
        <f t="shared" ref="B39:B60" si="13">IF(ISERROR(LOG(10^$C39/($D39^-0.47))),#N/A,LOG(10^$C39/($D39^-0.47)))</f>
        <v>4.6698892807926278</v>
      </c>
      <c r="C39" s="60">
        <f>IF(ISERROR(VLOOKUP($E39,SR_Kpw!$B$5:$F$366,3,FALSE)),#N/A,VLOOKUP($E39,SR_Kpw!$B$5:$F$366,3,FALSE))</f>
        <v>3.6289126722102099</v>
      </c>
      <c r="D39" s="61">
        <f>IF(ISERROR(VLOOKUP($E39,SR_Kpw!$B$5:$F$366,5,FALSE)),#N/A,VLOOKUP($E39,SR_Kpw!$B$5:$F$366,5,FALSE))</f>
        <v>164</v>
      </c>
      <c r="E39" s="62" t="s">
        <v>19</v>
      </c>
      <c r="F39" s="63"/>
      <c r="G39" s="63"/>
      <c r="H39" s="63">
        <v>7.4837293549549029E-3</v>
      </c>
      <c r="I39" s="63">
        <v>1.035544681813789E-2</v>
      </c>
      <c r="J39" s="64">
        <v>4.8319294472894236E-2</v>
      </c>
      <c r="K39" s="64">
        <v>4.1249172751350885E-2</v>
      </c>
      <c r="L39" s="64">
        <v>5.4862395769940939E-2</v>
      </c>
      <c r="M39" s="64">
        <v>4.9335245320091266E-2</v>
      </c>
      <c r="N39" s="64"/>
      <c r="O39" s="64"/>
      <c r="P39" s="64"/>
      <c r="Q39" s="64"/>
      <c r="R39" s="64"/>
      <c r="S39" s="64"/>
      <c r="T39" s="64"/>
      <c r="U39" s="64"/>
      <c r="V39" s="63"/>
      <c r="W39" s="65"/>
    </row>
    <row r="40" spans="1:23" x14ac:dyDescent="0.25">
      <c r="A40" s="23">
        <f t="shared" si="12"/>
        <v>5.3622680523758492E-3</v>
      </c>
      <c r="B40" s="59">
        <f t="shared" si="13"/>
        <v>5.2893963366346517</v>
      </c>
      <c r="C40" s="60">
        <f>IF(ISERROR(VLOOKUP($E40,SR_Kpw!$B$5:$F$366,3,FALSE)),#N/A,VLOOKUP($E40,SR_Kpw!$B$5:$F$366,3,FALSE))</f>
        <v>4.22</v>
      </c>
      <c r="D40" s="61">
        <f>IF(ISERROR(VLOOKUP($E40,SR_Kpw!$B$5:$F$366,5,FALSE)),#N/A,VLOOKUP($E40,SR_Kpw!$B$5:$F$366,5,FALSE))</f>
        <v>188.5</v>
      </c>
      <c r="E40" s="62" t="s">
        <v>20</v>
      </c>
      <c r="F40" s="63">
        <v>5.3622680523758492E-3</v>
      </c>
      <c r="G40" s="63">
        <v>2.1577815937752397E-2</v>
      </c>
      <c r="H40" s="63">
        <v>0.11456858420963939</v>
      </c>
      <c r="I40" s="63">
        <v>0.12729811178100189</v>
      </c>
      <c r="J40" s="64">
        <v>7.0353324493805491E-2</v>
      </c>
      <c r="K40" s="64">
        <v>4.8185544080518519E-2</v>
      </c>
      <c r="L40" s="64">
        <v>8.6733313642549131E-2</v>
      </c>
      <c r="M40" s="64">
        <v>0.12501840541423856</v>
      </c>
      <c r="N40" s="64"/>
      <c r="O40" s="64"/>
      <c r="P40" s="64"/>
      <c r="Q40" s="64"/>
      <c r="R40" s="64"/>
      <c r="S40" s="64"/>
      <c r="T40" s="64"/>
      <c r="U40" s="64"/>
      <c r="V40" s="66"/>
      <c r="W40" s="67"/>
    </row>
    <row r="41" spans="1:23" x14ac:dyDescent="0.25">
      <c r="A41" s="23">
        <f t="shared" si="12"/>
        <v>2.3164948835817854E-2</v>
      </c>
      <c r="B41" s="59">
        <f t="shared" si="13"/>
        <v>5.4793963366346521</v>
      </c>
      <c r="C41" s="60">
        <f>IF(ISERROR(VLOOKUP($E41,SR_Kpw!$B$5:$F$366,3,FALSE)),#N/A,VLOOKUP($E41,SR_Kpw!$B$5:$F$366,3,FALSE))</f>
        <v>4.41</v>
      </c>
      <c r="D41" s="61">
        <f>IF(ISERROR(VLOOKUP($E41,SR_Kpw!$B$5:$F$366,5,FALSE)),#N/A,VLOOKUP($E41,SR_Kpw!$B$5:$F$366,5,FALSE))</f>
        <v>188.5</v>
      </c>
      <c r="E41" s="62" t="s">
        <v>21</v>
      </c>
      <c r="F41" s="63">
        <v>2.3164948835817854E-2</v>
      </c>
      <c r="G41" s="63">
        <v>5.275090230278958E-2</v>
      </c>
      <c r="H41" s="63">
        <v>0.11073905172875176</v>
      </c>
      <c r="I41" s="63">
        <v>0.1114336269170224</v>
      </c>
      <c r="J41" s="64">
        <v>7.4758978574328477E-2</v>
      </c>
      <c r="K41" s="64">
        <v>5.8212508670654438E-2</v>
      </c>
      <c r="L41" s="64">
        <v>9.9925392934784474E-2</v>
      </c>
      <c r="M41" s="64">
        <v>0.15387886186974523</v>
      </c>
      <c r="N41" s="64"/>
      <c r="O41" s="64"/>
      <c r="P41" s="64"/>
      <c r="Q41" s="64"/>
      <c r="R41" s="64"/>
      <c r="S41" s="64"/>
      <c r="T41" s="64"/>
      <c r="U41" s="64"/>
      <c r="V41" s="63"/>
      <c r="W41" s="65"/>
    </row>
    <row r="42" spans="1:23" x14ac:dyDescent="0.25">
      <c r="A42" s="23">
        <f t="shared" si="12"/>
        <v>1.8294184233743495E-2</v>
      </c>
      <c r="B42" s="59">
        <f t="shared" si="13"/>
        <v>5.4293963366346523</v>
      </c>
      <c r="C42" s="60">
        <f>IF(ISERROR(VLOOKUP($E42,SR_Kpw!$B$5:$F$366,3,FALSE)),#N/A,VLOOKUP($E42,SR_Kpw!$B$5:$F$366,3,FALSE))</f>
        <v>4.3600000000000003</v>
      </c>
      <c r="D42" s="61">
        <f>IF(ISERROR(VLOOKUP($E42,SR_Kpw!$B$5:$F$366,5,FALSE)),#N/A,VLOOKUP($E42,SR_Kpw!$B$5:$F$366,5,FALSE))</f>
        <v>188.5</v>
      </c>
      <c r="E42" s="62" t="s">
        <v>22</v>
      </c>
      <c r="F42" s="63">
        <v>1.8294184233743495E-2</v>
      </c>
      <c r="G42" s="63">
        <v>5.172628490720161E-2</v>
      </c>
      <c r="H42" s="63">
        <v>0.28964338429687947</v>
      </c>
      <c r="I42" s="63">
        <v>0.12375660282721929</v>
      </c>
      <c r="J42" s="64">
        <v>7.2824547175287205E-2</v>
      </c>
      <c r="K42" s="64">
        <v>6.1917466868089549E-2</v>
      </c>
      <c r="L42" s="64">
        <v>0.16938712170658157</v>
      </c>
      <c r="M42" s="64">
        <v>0.16099975650721149</v>
      </c>
      <c r="N42" s="64"/>
      <c r="O42" s="64"/>
      <c r="P42" s="64"/>
      <c r="Q42" s="64"/>
      <c r="R42" s="64"/>
      <c r="S42" s="64"/>
      <c r="T42" s="64"/>
      <c r="U42" s="64"/>
      <c r="V42" s="63"/>
      <c r="W42" s="65"/>
    </row>
    <row r="43" spans="1:23" x14ac:dyDescent="0.25">
      <c r="A43" s="23">
        <f t="shared" si="12"/>
        <v>3.6797636011174438E-2</v>
      </c>
      <c r="B43" s="59">
        <f t="shared" si="13"/>
        <v>5.6844510053176576</v>
      </c>
      <c r="C43" s="60">
        <f>IF(ISERROR(VLOOKUP($E43,SR_Kpw!$B$5:$F$366,3,FALSE)),#N/A,VLOOKUP($E43,SR_Kpw!$B$5:$F$366,3,FALSE))</f>
        <v>4.5807477196850215</v>
      </c>
      <c r="D43" s="61">
        <f>IF(ISERROR(VLOOKUP($E43,SR_Kpw!$B$5:$F$366,5,FALSE)),#N/A,VLOOKUP($E43,SR_Kpw!$B$5:$F$366,5,FALSE))</f>
        <v>223</v>
      </c>
      <c r="E43" s="62" t="s">
        <v>23</v>
      </c>
      <c r="F43" s="63">
        <v>3.6797636011174438E-2</v>
      </c>
      <c r="G43" s="63">
        <v>0.26701478158110226</v>
      </c>
      <c r="H43" s="63">
        <v>0.62343821629801455</v>
      </c>
      <c r="I43" s="63">
        <v>0.28483136627357036</v>
      </c>
      <c r="J43" s="64">
        <v>0.10990070961425559</v>
      </c>
      <c r="K43" s="64">
        <v>0.14572542210068112</v>
      </c>
      <c r="L43" s="64">
        <v>0.25327826435651213</v>
      </c>
      <c r="M43" s="64">
        <v>0.28223174328606176</v>
      </c>
      <c r="N43" s="64"/>
      <c r="O43" s="64"/>
      <c r="P43" s="64"/>
      <c r="Q43" s="64"/>
      <c r="R43" s="64"/>
      <c r="S43" s="64"/>
      <c r="T43" s="64"/>
      <c r="U43" s="64"/>
      <c r="V43" s="63"/>
      <c r="W43" s="65"/>
    </row>
    <row r="44" spans="1:23" x14ac:dyDescent="0.25">
      <c r="A44" s="23">
        <f t="shared" si="12"/>
        <v>0.40108225425983213</v>
      </c>
      <c r="B44" s="59">
        <f t="shared" si="13"/>
        <v>6.216372666363136</v>
      </c>
      <c r="C44" s="60">
        <f>IF(ISERROR(VLOOKUP($E44,SR_Kpw!$B$5:$F$366,3,FALSE)),#N/A,VLOOKUP($E44,SR_Kpw!$B$5:$F$366,3,FALSE))</f>
        <v>5.1126693807304999</v>
      </c>
      <c r="D44" s="61">
        <f>IF(ISERROR(VLOOKUP($E44,SR_Kpw!$B$5:$F$366,5,FALSE)),#N/A,VLOOKUP($E44,SR_Kpw!$B$5:$F$366,5,FALSE))</f>
        <v>223</v>
      </c>
      <c r="E44" s="62" t="s">
        <v>24</v>
      </c>
      <c r="F44" s="63">
        <v>0.40108225425983213</v>
      </c>
      <c r="G44" s="63">
        <v>0.58370475464052196</v>
      </c>
      <c r="H44" s="63">
        <v>0.67049655803613661</v>
      </c>
      <c r="I44" s="63">
        <v>0.34148000881223373</v>
      </c>
      <c r="J44" s="64">
        <v>0.40994959879820747</v>
      </c>
      <c r="K44" s="64">
        <v>0.45751315663341047</v>
      </c>
      <c r="L44" s="64">
        <v>0.68837384610077168</v>
      </c>
      <c r="M44" s="64">
        <v>0.71145846222296927</v>
      </c>
      <c r="N44" s="64"/>
      <c r="O44" s="64"/>
      <c r="P44" s="64"/>
      <c r="Q44" s="64"/>
      <c r="R44" s="64"/>
      <c r="S44" s="64"/>
      <c r="T44" s="64"/>
      <c r="U44" s="64"/>
      <c r="V44" s="63"/>
      <c r="W44" s="65"/>
    </row>
    <row r="45" spans="1:23" x14ac:dyDescent="0.25">
      <c r="A45" s="23">
        <f t="shared" si="12"/>
        <v>0.45291680795956002</v>
      </c>
      <c r="B45" s="59">
        <f t="shared" si="13"/>
        <v>6.3481425756163192</v>
      </c>
      <c r="C45" s="60">
        <f>IF(ISERROR(VLOOKUP($E45,SR_Kpw!$B$5:$F$366,3,FALSE)),#N/A,VLOOKUP($E45,SR_Kpw!$B$5:$F$366,3,FALSE))</f>
        <v>5.2150772759290298</v>
      </c>
      <c r="D45" s="61">
        <f>IF(ISERROR(VLOOKUP($E45,SR_Kpw!$B$5:$F$366,5,FALSE)),#N/A,VLOOKUP($E45,SR_Kpw!$B$5:$F$366,5,FALSE))</f>
        <v>257.5</v>
      </c>
      <c r="E45" s="62" t="s">
        <v>25</v>
      </c>
      <c r="F45" s="63">
        <v>0.45291680795956002</v>
      </c>
      <c r="G45" s="63">
        <v>0.7937469113534853</v>
      </c>
      <c r="H45" s="63">
        <v>0.64718843864203723</v>
      </c>
      <c r="I45" s="63">
        <v>0.4356996262008323</v>
      </c>
      <c r="J45" s="64">
        <v>0.5163026156963495</v>
      </c>
      <c r="K45" s="64">
        <v>0.6127101986215161</v>
      </c>
      <c r="L45" s="64">
        <v>0.73984025549468491</v>
      </c>
      <c r="M45" s="64">
        <v>0.72815692528667675</v>
      </c>
      <c r="N45" s="64"/>
      <c r="O45" s="64"/>
      <c r="P45" s="64"/>
      <c r="Q45" s="64"/>
      <c r="R45" s="64"/>
      <c r="S45" s="64"/>
      <c r="T45" s="64"/>
      <c r="U45" s="64"/>
      <c r="V45" s="63"/>
      <c r="W45" s="65"/>
    </row>
    <row r="46" spans="1:23" x14ac:dyDescent="0.25">
      <c r="A46" s="23">
        <f t="shared" si="12"/>
        <v>0.69999027301082872</v>
      </c>
      <c r="B46" s="59">
        <f t="shared" si="13"/>
        <v>6.8691108151645723</v>
      </c>
      <c r="C46" s="60">
        <f>IF(ISERROR(VLOOKUP($E46,SR_Kpw!$B$5:$F$366,3,FALSE)),#N/A,VLOOKUP($E46,SR_Kpw!$B$5:$F$366,3,FALSE))</f>
        <v>5.7103808749838159</v>
      </c>
      <c r="D46" s="61">
        <f>IF(ISERROR(VLOOKUP($E46,SR_Kpw!$B$5:$F$366,5,FALSE)),#N/A,VLOOKUP($E46,SR_Kpw!$B$5:$F$366,5,FALSE))</f>
        <v>292</v>
      </c>
      <c r="E46" s="62" t="s">
        <v>26</v>
      </c>
      <c r="F46" s="63">
        <v>0.69999027301082872</v>
      </c>
      <c r="G46" s="63">
        <v>0.84811276981399775</v>
      </c>
      <c r="H46" s="63">
        <v>0.82828873638698042</v>
      </c>
      <c r="I46" s="63">
        <v>0.7371954260324648</v>
      </c>
      <c r="J46" s="64">
        <v>0.77889476501212707</v>
      </c>
      <c r="K46" s="64">
        <v>0.83334641838090451</v>
      </c>
      <c r="L46" s="64">
        <v>0.88758782719226204</v>
      </c>
      <c r="M46" s="64">
        <v>0.86946238151260113</v>
      </c>
      <c r="N46" s="64"/>
      <c r="O46" s="64"/>
      <c r="P46" s="64"/>
      <c r="Q46" s="64"/>
      <c r="R46" s="64"/>
      <c r="S46" s="64"/>
      <c r="T46" s="64"/>
      <c r="U46" s="64"/>
      <c r="V46" s="63"/>
      <c r="W46" s="65"/>
    </row>
    <row r="47" spans="1:23" x14ac:dyDescent="0.25">
      <c r="A47" s="23">
        <f t="shared" si="12"/>
        <v>0.5230934390429498</v>
      </c>
      <c r="B47" s="59">
        <f t="shared" si="13"/>
        <v>6.513905478925345</v>
      </c>
      <c r="C47" s="60">
        <f>IF(ISERROR(VLOOKUP($E47,SR_Kpw!$B$5:$F$366,3,FALSE)),#N/A,VLOOKUP($E47,SR_Kpw!$B$5:$F$366,3,FALSE))</f>
        <v>5.3808401792380556</v>
      </c>
      <c r="D47" s="61">
        <f>IF(ISERROR(VLOOKUP($E47,SR_Kpw!$B$5:$F$366,5,FALSE)),#N/A,VLOOKUP($E47,SR_Kpw!$B$5:$F$366,5,FALSE))</f>
        <v>257.5</v>
      </c>
      <c r="E47" s="62" t="s">
        <v>27</v>
      </c>
      <c r="F47" s="63">
        <v>0.5230934390429498</v>
      </c>
      <c r="G47" s="63">
        <v>0.681903532042201</v>
      </c>
      <c r="H47" s="63"/>
      <c r="I47" s="63"/>
      <c r="J47" s="64">
        <v>0.81393625051213792</v>
      </c>
      <c r="K47" s="64">
        <v>0.93224008690499671</v>
      </c>
      <c r="L47" s="64">
        <v>0.97862383992827962</v>
      </c>
      <c r="M47" s="64">
        <v>0.98251917970690872</v>
      </c>
      <c r="N47" s="64"/>
      <c r="O47" s="64"/>
      <c r="P47" s="64"/>
      <c r="Q47" s="64"/>
      <c r="R47" s="64"/>
      <c r="S47" s="64"/>
      <c r="T47" s="64"/>
      <c r="U47" s="64"/>
      <c r="V47" s="63"/>
      <c r="W47" s="65"/>
    </row>
    <row r="48" spans="1:23" x14ac:dyDescent="0.25">
      <c r="A48" s="23">
        <f t="shared" si="12"/>
        <v>0.86706157181685362</v>
      </c>
      <c r="B48" s="59">
        <f t="shared" si="13"/>
        <v>7.3327724498462317</v>
      </c>
      <c r="C48" s="60">
        <f>IF(ISERROR(VLOOKUP($E48,SR_Kpw!$B$5:$F$366,3,FALSE)),#N/A,VLOOKUP($E48,SR_Kpw!$B$5:$F$366,3,FALSE))</f>
        <v>6.1512473526090172</v>
      </c>
      <c r="D48" s="61">
        <f>IF(ISERROR(VLOOKUP($E48,SR_Kpw!$B$5:$F$366,5,FALSE)),#N/A,VLOOKUP($E48,SR_Kpw!$B$5:$F$366,5,FALSE))</f>
        <v>326.5</v>
      </c>
      <c r="E48" s="62" t="s">
        <v>28</v>
      </c>
      <c r="F48" s="63">
        <v>0.86706157181685362</v>
      </c>
      <c r="G48" s="63">
        <v>0.92884814967420004</v>
      </c>
      <c r="H48" s="63">
        <v>0.97467467699671195</v>
      </c>
      <c r="I48" s="63">
        <v>0.89294071426749388</v>
      </c>
      <c r="J48" s="64">
        <v>0.95078397098775003</v>
      </c>
      <c r="K48" s="64">
        <v>1.0256062265650239</v>
      </c>
      <c r="L48" s="64">
        <v>1.050572624164571</v>
      </c>
      <c r="M48" s="64">
        <v>1.0091489988661786</v>
      </c>
      <c r="N48" s="64"/>
      <c r="O48" s="64"/>
      <c r="P48" s="64"/>
      <c r="Q48" s="64"/>
      <c r="R48" s="64"/>
      <c r="S48" s="64"/>
      <c r="T48" s="64"/>
      <c r="U48" s="64"/>
      <c r="V48" s="63"/>
      <c r="W48" s="65"/>
    </row>
    <row r="49" spans="1:23" x14ac:dyDescent="0.25">
      <c r="A49" s="23">
        <f t="shared" si="12"/>
        <v>0.70186190457043729</v>
      </c>
      <c r="B49" s="59">
        <f t="shared" si="13"/>
        <v>7.1497407537871496</v>
      </c>
      <c r="C49" s="60">
        <f>IF(ISERROR(VLOOKUP($E49,SR_Kpw!$B$5:$F$366,3,FALSE)),#N/A,VLOOKUP($E49,SR_Kpw!$B$5:$F$366,3,FALSE))</f>
        <v>5.9910108136063922</v>
      </c>
      <c r="D49" s="61">
        <f>IF(ISERROR(VLOOKUP($E49,SR_Kpw!$B$5:$F$366,5,FALSE)),#N/A,VLOOKUP($E49,SR_Kpw!$B$5:$F$366,5,FALSE))</f>
        <v>292</v>
      </c>
      <c r="E49" s="62" t="s">
        <v>29</v>
      </c>
      <c r="F49" s="63">
        <v>0.70186190457043729</v>
      </c>
      <c r="G49" s="63">
        <v>0.84750839760657293</v>
      </c>
      <c r="H49" s="63">
        <v>1.0449350054882296</v>
      </c>
      <c r="I49" s="63">
        <v>1.0430048727599039</v>
      </c>
      <c r="J49" s="64">
        <v>0.96507856423852489</v>
      </c>
      <c r="K49" s="64">
        <v>1.0520842903271861</v>
      </c>
      <c r="L49" s="64">
        <v>1.0917717199332031</v>
      </c>
      <c r="M49" s="64">
        <v>1.015485230730947</v>
      </c>
      <c r="N49" s="64"/>
      <c r="O49" s="64"/>
      <c r="P49" s="64"/>
      <c r="Q49" s="64"/>
      <c r="R49" s="64"/>
      <c r="S49" s="64"/>
      <c r="T49" s="64"/>
      <c r="U49" s="64"/>
      <c r="V49" s="63"/>
      <c r="W49" s="65"/>
    </row>
    <row r="50" spans="1:23" x14ac:dyDescent="0.25">
      <c r="A50" s="23">
        <f t="shared" si="12"/>
        <v>0.77636974187581365</v>
      </c>
      <c r="B50" s="59">
        <f t="shared" si="13"/>
        <v>7.2257715415119002</v>
      </c>
      <c r="C50" s="60">
        <f>IF(ISERROR(VLOOKUP($E50,SR_Kpw!$B$5:$F$366,3,FALSE)),#N/A,VLOOKUP($E50,SR_Kpw!$B$5:$F$366,3,FALSE))</f>
        <v>6.0670416013311428</v>
      </c>
      <c r="D50" s="61">
        <f>IF(ISERROR(VLOOKUP($E50,SR_Kpw!$B$5:$F$366,5,FALSE)),#N/A,VLOOKUP($E50,SR_Kpw!$B$5:$F$366,5,FALSE))</f>
        <v>292</v>
      </c>
      <c r="E50" s="62" t="s">
        <v>30</v>
      </c>
      <c r="F50" s="63">
        <v>0.77636974187581365</v>
      </c>
      <c r="G50" s="63">
        <v>0.86305288612138331</v>
      </c>
      <c r="H50" s="63">
        <v>0.95386056213085124</v>
      </c>
      <c r="I50" s="63">
        <v>0.94272766013340203</v>
      </c>
      <c r="J50" s="64">
        <v>0.92331471309845814</v>
      </c>
      <c r="K50" s="64">
        <v>0.93779446920041731</v>
      </c>
      <c r="L50" s="64">
        <v>0.95659268600912728</v>
      </c>
      <c r="M50" s="64">
        <v>0.95692950108791874</v>
      </c>
      <c r="N50" s="64"/>
      <c r="O50" s="64"/>
      <c r="P50" s="64"/>
      <c r="Q50" s="64"/>
      <c r="R50" s="64"/>
      <c r="S50" s="64"/>
      <c r="T50" s="64"/>
      <c r="U50" s="64"/>
      <c r="V50" s="63"/>
      <c r="W50" s="65"/>
    </row>
    <row r="51" spans="1:23" x14ac:dyDescent="0.25">
      <c r="A51" s="23">
        <f t="shared" si="12"/>
        <v>0.85899474235254158</v>
      </c>
      <c r="B51" s="59">
        <f t="shared" si="13"/>
        <v>7.8264669364037438</v>
      </c>
      <c r="C51" s="60">
        <f>IF(ISERROR(VLOOKUP($E51,SR_Kpw!$B$5:$F$366,3,FALSE)),#N/A,VLOOKUP($E51,SR_Kpw!$B$5:$F$366,3,FALSE))</f>
        <v>6.6244385515080841</v>
      </c>
      <c r="D51" s="61">
        <f>IF(ISERROR(VLOOKUP($E51,SR_Kpw!$B$5:$F$366,5,FALSE)),#N/A,VLOOKUP($E51,SR_Kpw!$B$5:$F$366,5,FALSE))</f>
        <v>361</v>
      </c>
      <c r="E51" s="62" t="s">
        <v>31</v>
      </c>
      <c r="F51" s="63">
        <v>0.85899474235254158</v>
      </c>
      <c r="G51" s="63">
        <v>0.92693449431918773</v>
      </c>
      <c r="H51" s="63">
        <v>0.99798298605934455</v>
      </c>
      <c r="I51" s="63">
        <v>0.99652171126876765</v>
      </c>
      <c r="J51" s="64">
        <v>1.0223034154547321</v>
      </c>
      <c r="K51" s="64">
        <v>1.0309056600531064</v>
      </c>
      <c r="L51" s="64">
        <v>1.0135397178371857</v>
      </c>
      <c r="M51" s="64">
        <v>1.0215066869319649</v>
      </c>
      <c r="N51" s="64"/>
      <c r="O51" s="64"/>
      <c r="P51" s="64"/>
      <c r="Q51" s="64"/>
      <c r="R51" s="64"/>
      <c r="S51" s="64"/>
      <c r="T51" s="64"/>
      <c r="U51" s="64"/>
      <c r="V51" s="63"/>
      <c r="W51" s="65"/>
    </row>
    <row r="52" spans="1:23" x14ac:dyDescent="0.25">
      <c r="A52" s="23">
        <f t="shared" si="12"/>
        <v>1</v>
      </c>
      <c r="B52" s="59">
        <f t="shared" si="13"/>
        <v>8.8246863004409342</v>
      </c>
      <c r="C52" s="60">
        <f>IF(ISERROR(VLOOKUP($E52,SR_Kpw!$B$5:$F$366,3,FALSE)),#N/A,VLOOKUP($E52,SR_Kpw!$B$5:$F$366,3,FALSE))</f>
        <v>7.5869561263185288</v>
      </c>
      <c r="D52" s="61">
        <f>IF(ISERROR(VLOOKUP($E52,SR_Kpw!$B$5:$F$366,5,FALSE)),#N/A,VLOOKUP($E52,SR_Kpw!$B$5:$F$366,5,FALSE))</f>
        <v>430</v>
      </c>
      <c r="E52" s="51" t="s">
        <v>32</v>
      </c>
      <c r="F52" s="64">
        <v>1</v>
      </c>
      <c r="G52" s="64">
        <v>1</v>
      </c>
      <c r="H52" s="64">
        <v>1.0481564518098045</v>
      </c>
      <c r="I52" s="64">
        <v>1.0607506285978305</v>
      </c>
      <c r="J52" s="64">
        <v>1.0543818714468098</v>
      </c>
      <c r="K52" s="64">
        <v>1.0312998707464758</v>
      </c>
      <c r="L52" s="64">
        <v>1.0298675961536869</v>
      </c>
      <c r="M52" s="64">
        <v>1.0215638119801158</v>
      </c>
      <c r="N52" s="64"/>
      <c r="O52" s="64"/>
      <c r="P52" s="64"/>
      <c r="Q52" s="64"/>
      <c r="R52" s="64"/>
      <c r="S52" s="64"/>
      <c r="T52" s="64"/>
      <c r="U52" s="64"/>
      <c r="V52" s="63"/>
      <c r="W52" s="65"/>
    </row>
    <row r="53" spans="1:23" x14ac:dyDescent="0.25">
      <c r="A53" s="23" t="e">
        <f t="shared" si="12"/>
        <v>#N/A</v>
      </c>
      <c r="B53" s="59" t="e">
        <f t="shared" si="13"/>
        <v>#N/A</v>
      </c>
      <c r="C53" s="60" t="e">
        <f>IF(ISERROR(VLOOKUP($E53,SR_Kpw!$B$5:$F$366,3,FALSE)),#N/A,VLOOKUP($E53,SR_Kpw!$B$5:$F$366,3,FALSE))</f>
        <v>#N/A</v>
      </c>
      <c r="D53" s="61" t="e">
        <f>IF(ISERROR(VLOOKUP($E53,SR_Kpw!$B$5:$F$366,5,FALSE)),#N/A,VLOOKUP($E53,SR_Kpw!$B$5:$F$366,5,FALSE))</f>
        <v>#N/A</v>
      </c>
      <c r="E53" s="51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3"/>
      <c r="W53" s="65"/>
    </row>
    <row r="54" spans="1:23" x14ac:dyDescent="0.25">
      <c r="A54" s="23" t="e">
        <f t="shared" si="12"/>
        <v>#N/A</v>
      </c>
      <c r="B54" s="59" t="e">
        <f t="shared" si="13"/>
        <v>#N/A</v>
      </c>
      <c r="C54" s="60" t="e">
        <f>IF(ISERROR(VLOOKUP($E54,SR_Kpw!$B$5:$F$366,3,FALSE)),#N/A,VLOOKUP($E54,SR_Kpw!$B$5:$F$366,3,FALSE))</f>
        <v>#N/A</v>
      </c>
      <c r="D54" s="61" t="e">
        <f>IF(ISERROR(VLOOKUP($E54,SR_Kpw!$B$5:$F$366,5,FALSE)),#N/A,VLOOKUP($E54,SR_Kpw!$B$5:$F$366,5,FALSE))</f>
        <v>#N/A</v>
      </c>
      <c r="E54" s="51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3"/>
      <c r="W54" s="65"/>
    </row>
    <row r="55" spans="1:23" x14ac:dyDescent="0.25">
      <c r="A55" s="23" t="e">
        <f t="shared" si="12"/>
        <v>#N/A</v>
      </c>
      <c r="B55" s="59" t="e">
        <f t="shared" si="13"/>
        <v>#N/A</v>
      </c>
      <c r="C55" s="60" t="e">
        <f>IF(ISERROR(VLOOKUP($E55,SR_Kpw!$B$5:$F$366,3,FALSE)),#N/A,VLOOKUP($E55,SR_Kpw!$B$5:$F$366,3,FALSE))</f>
        <v>#N/A</v>
      </c>
      <c r="D55" s="61" t="e">
        <f>IF(ISERROR(VLOOKUP($E55,SR_Kpw!$B$5:$F$366,5,FALSE)),#N/A,VLOOKUP($E55,SR_Kpw!$B$5:$F$366,5,FALSE))</f>
        <v>#N/A</v>
      </c>
      <c r="E55" s="51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3"/>
      <c r="W55" s="65"/>
    </row>
    <row r="56" spans="1:23" x14ac:dyDescent="0.25">
      <c r="A56" s="23" t="e">
        <f t="shared" si="12"/>
        <v>#N/A</v>
      </c>
      <c r="B56" s="59" t="e">
        <f t="shared" si="13"/>
        <v>#N/A</v>
      </c>
      <c r="C56" s="60" t="e">
        <f>IF(ISERROR(VLOOKUP($E56,SR_Kpw!$B$5:$F$366,3,FALSE)),#N/A,VLOOKUP($E56,SR_Kpw!$B$5:$F$366,3,FALSE))</f>
        <v>#N/A</v>
      </c>
      <c r="D56" s="61" t="e">
        <f>IF(ISERROR(VLOOKUP($E56,SR_Kpw!$B$5:$F$366,5,FALSE)),#N/A,VLOOKUP($E56,SR_Kpw!$B$5:$F$366,5,FALSE))</f>
        <v>#N/A</v>
      </c>
      <c r="E56" s="51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3"/>
      <c r="W56" s="65"/>
    </row>
    <row r="57" spans="1:23" x14ac:dyDescent="0.25">
      <c r="A57" s="23" t="e">
        <f t="shared" si="12"/>
        <v>#N/A</v>
      </c>
      <c r="B57" s="59" t="e">
        <f t="shared" si="13"/>
        <v>#N/A</v>
      </c>
      <c r="C57" s="60" t="e">
        <f>IF(ISERROR(VLOOKUP($E57,SR_Kpw!$B$5:$F$366,3,FALSE)),#N/A,VLOOKUP($E57,SR_Kpw!$B$5:$F$366,3,FALSE))</f>
        <v>#N/A</v>
      </c>
      <c r="D57" s="61" t="e">
        <f>IF(ISERROR(VLOOKUP($E57,SR_Kpw!$B$5:$F$366,5,FALSE)),#N/A,VLOOKUP($E57,SR_Kpw!$B$5:$F$366,5,FALSE))</f>
        <v>#N/A</v>
      </c>
      <c r="E57" s="51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3"/>
      <c r="W57" s="65"/>
    </row>
    <row r="58" spans="1:23" x14ac:dyDescent="0.25">
      <c r="A58" s="23" t="e">
        <f t="shared" si="12"/>
        <v>#N/A</v>
      </c>
      <c r="B58" s="59" t="e">
        <f t="shared" si="13"/>
        <v>#N/A</v>
      </c>
      <c r="C58" s="60" t="e">
        <f>IF(ISERROR(VLOOKUP($E58,SR_Kpw!$B$5:$F$366,3,FALSE)),#N/A,VLOOKUP($E58,SR_Kpw!$B$5:$F$366,3,FALSE))</f>
        <v>#N/A</v>
      </c>
      <c r="D58" s="61" t="e">
        <f>IF(ISERROR(VLOOKUP($E58,SR_Kpw!$B$5:$F$366,5,FALSE)),#N/A,VLOOKUP($E58,SR_Kpw!$B$5:$F$366,5,FALSE))</f>
        <v>#N/A</v>
      </c>
      <c r="E58" s="51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3"/>
      <c r="W58" s="65"/>
    </row>
    <row r="59" spans="1:23" x14ac:dyDescent="0.25">
      <c r="A59" s="23" t="e">
        <f t="shared" si="12"/>
        <v>#N/A</v>
      </c>
      <c r="B59" s="59" t="e">
        <f t="shared" si="13"/>
        <v>#N/A</v>
      </c>
      <c r="C59" s="60" t="e">
        <f>IF(ISERROR(VLOOKUP($E59,SR_Kpw!$B$5:$F$366,3,FALSE)),#N/A,VLOOKUP($E59,SR_Kpw!$B$5:$F$366,3,FALSE))</f>
        <v>#N/A</v>
      </c>
      <c r="D59" s="61" t="e">
        <f>IF(ISERROR(VLOOKUP($E59,SR_Kpw!$B$5:$F$366,5,FALSE)),#N/A,VLOOKUP($E59,SR_Kpw!$B$5:$F$366,5,FALSE))</f>
        <v>#N/A</v>
      </c>
      <c r="E59" s="51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3"/>
      <c r="W59" s="65"/>
    </row>
    <row r="60" spans="1:23" x14ac:dyDescent="0.25">
      <c r="A60" s="23" t="e">
        <f t="shared" si="12"/>
        <v>#N/A</v>
      </c>
      <c r="B60" s="59" t="e">
        <f t="shared" si="13"/>
        <v>#N/A</v>
      </c>
      <c r="C60" s="60" t="e">
        <f>IF(ISERROR(VLOOKUP($E60,SR_Kpw!$B$5:$F$366,3,FALSE)),#N/A,VLOOKUP($E60,SR_Kpw!$B$5:$F$366,3,FALSE))</f>
        <v>#N/A</v>
      </c>
      <c r="D60" s="61" t="e">
        <f>IF(ISERROR(VLOOKUP($E60,SR_Kpw!$B$5:$F$366,5,FALSE)),#N/A,VLOOKUP($E60,SR_Kpw!$B$5:$F$366,5,FALSE))</f>
        <v>#N/A</v>
      </c>
      <c r="E60" s="51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3"/>
      <c r="W60" s="65"/>
    </row>
    <row r="61" spans="1:23" ht="19.5" thickBot="1" x14ac:dyDescent="0.3">
      <c r="A61" s="43" t="str">
        <f ca="1">INDIRECT(("r"&amp;ROW()&amp;"c"&amp;MATCH($J$21,$A$35:$W$35,)),FALSE)</f>
        <v>f-calc</v>
      </c>
      <c r="F61" s="4" t="s">
        <v>100</v>
      </c>
      <c r="G61" s="4" t="s">
        <v>100</v>
      </c>
      <c r="H61" s="4" t="s">
        <v>100</v>
      </c>
      <c r="I61" s="4" t="s">
        <v>100</v>
      </c>
      <c r="J61" s="4" t="s">
        <v>100</v>
      </c>
      <c r="K61" s="4" t="s">
        <v>100</v>
      </c>
      <c r="L61" s="4" t="s">
        <v>100</v>
      </c>
      <c r="M61" s="4" t="s">
        <v>100</v>
      </c>
      <c r="N61" s="4" t="s">
        <v>100</v>
      </c>
      <c r="O61" s="4" t="s">
        <v>100</v>
      </c>
      <c r="P61" s="4" t="s">
        <v>100</v>
      </c>
      <c r="Q61" s="4" t="s">
        <v>100</v>
      </c>
      <c r="R61" s="4" t="s">
        <v>100</v>
      </c>
      <c r="S61" s="4" t="s">
        <v>100</v>
      </c>
      <c r="T61" s="4" t="s">
        <v>100</v>
      </c>
      <c r="U61" s="4" t="s">
        <v>100</v>
      </c>
      <c r="V61" s="4" t="s">
        <v>100</v>
      </c>
      <c r="W61" s="4" t="s">
        <v>100</v>
      </c>
    </row>
    <row r="62" spans="1:23" x14ac:dyDescent="0.25">
      <c r="A62" s="23" t="str">
        <f t="shared" ref="A62:A83" si="14">IF(ISERROR(1/INDEX($F$22:$W$98,ROW(A62)+1-ROW($A$22),MATCH($J$21,$F$22:$W$22,))),"",INDEX($F$22:$W$98,ROW(A62)+1-ROW($A$22),MATCH($J$21,$F$22:$W$22,)))</f>
        <v/>
      </c>
      <c r="B62" s="69">
        <v>1</v>
      </c>
      <c r="C62" s="70"/>
      <c r="E62" s="4" t="str">
        <f t="shared" ref="E62:E75" si="15">E39</f>
        <v>BIP-D10</v>
      </c>
      <c r="F62" s="71" t="str">
        <f t="shared" ref="F62:W62" si="16">IF(LEN(F39)&lt;1,"",EXP(-(F$23*$D39^-0.47/10^$C39*F$37/F$33)))</f>
        <v/>
      </c>
      <c r="G62" s="72" t="str">
        <f t="shared" si="16"/>
        <v/>
      </c>
      <c r="H62" s="72">
        <f t="shared" si="16"/>
        <v>1.2340344320602986E-4</v>
      </c>
      <c r="I62" s="72">
        <f t="shared" si="16"/>
        <v>4.2143166597892117E-15</v>
      </c>
      <c r="J62" s="72">
        <f t="shared" si="16"/>
        <v>3.9508296667120936E-12</v>
      </c>
      <c r="K62" s="72">
        <f t="shared" si="16"/>
        <v>2.5319071152517936E-9</v>
      </c>
      <c r="L62" s="72">
        <f t="shared" si="16"/>
        <v>4.6160295019425907E-6</v>
      </c>
      <c r="M62" s="72">
        <f t="shared" si="16"/>
        <v>1.0287462278583518E-5</v>
      </c>
      <c r="N62" s="72" t="str">
        <f t="shared" si="16"/>
        <v/>
      </c>
      <c r="O62" s="72" t="str">
        <f t="shared" si="16"/>
        <v/>
      </c>
      <c r="P62" s="72" t="str">
        <f t="shared" si="16"/>
        <v/>
      </c>
      <c r="Q62" s="72" t="str">
        <f t="shared" si="16"/>
        <v/>
      </c>
      <c r="R62" s="72" t="str">
        <f t="shared" si="16"/>
        <v/>
      </c>
      <c r="S62" s="72" t="str">
        <f t="shared" si="16"/>
        <v/>
      </c>
      <c r="T62" s="72" t="str">
        <f t="shared" si="16"/>
        <v/>
      </c>
      <c r="U62" s="72" t="str">
        <f t="shared" ref="U62:V75" si="17">IF(LEN(U39)&lt;1,"",EXP(-(U$23*$D39^-0.47/10^$C39*U$37/U$33)))</f>
        <v/>
      </c>
      <c r="V62" s="72" t="str">
        <f t="shared" si="17"/>
        <v/>
      </c>
      <c r="W62" s="73" t="str">
        <f t="shared" si="16"/>
        <v/>
      </c>
    </row>
    <row r="63" spans="1:23" x14ac:dyDescent="0.25">
      <c r="A63" s="23">
        <f t="shared" si="14"/>
        <v>3.2334681567623722E-5</v>
      </c>
      <c r="B63" s="69">
        <v>2</v>
      </c>
      <c r="C63" s="70"/>
      <c r="E63" s="4" t="str">
        <f t="shared" si="15"/>
        <v>PCB001</v>
      </c>
      <c r="F63" s="75">
        <f t="shared" ref="F63:T63" si="18">IF(LEN(F40)&lt;1,"",EXP(-(F$23*$D40^-0.47/10^$C40*F$37/F$33)))</f>
        <v>3.2334681567623722E-5</v>
      </c>
      <c r="G63" s="76">
        <f t="shared" si="18"/>
        <v>1.6480810662829085E-2</v>
      </c>
      <c r="H63" s="76">
        <f t="shared" si="18"/>
        <v>0.11516217762853857</v>
      </c>
      <c r="I63" s="76">
        <f t="shared" si="18"/>
        <v>3.5293597608678716E-4</v>
      </c>
      <c r="J63" s="76">
        <f t="shared" si="18"/>
        <v>1.8256999871386567E-3</v>
      </c>
      <c r="K63" s="76">
        <f t="shared" si="18"/>
        <v>8.6196328242633159E-3</v>
      </c>
      <c r="L63" s="76">
        <f t="shared" si="18"/>
        <v>5.231106372067168E-2</v>
      </c>
      <c r="M63" s="76">
        <f t="shared" si="18"/>
        <v>6.3412850087209122E-2</v>
      </c>
      <c r="N63" s="76" t="str">
        <f t="shared" si="18"/>
        <v/>
      </c>
      <c r="O63" s="76" t="str">
        <f t="shared" si="18"/>
        <v/>
      </c>
      <c r="P63" s="76" t="str">
        <f t="shared" si="18"/>
        <v/>
      </c>
      <c r="Q63" s="76" t="str">
        <f t="shared" si="18"/>
        <v/>
      </c>
      <c r="R63" s="76" t="str">
        <f t="shared" si="18"/>
        <v/>
      </c>
      <c r="S63" s="76" t="str">
        <f t="shared" si="18"/>
        <v/>
      </c>
      <c r="T63" s="76" t="str">
        <f t="shared" si="18"/>
        <v/>
      </c>
      <c r="U63" s="76" t="str">
        <f t="shared" si="17"/>
        <v/>
      </c>
      <c r="V63" s="76" t="str">
        <f t="shared" si="17"/>
        <v/>
      </c>
      <c r="W63" s="74" t="str">
        <f>IF(LEN(W40)&lt;1,"",EXP(-(W$23*$D40^-0.47/10^$C40*W$37/W$33)))</f>
        <v/>
      </c>
    </row>
    <row r="64" spans="1:23" x14ac:dyDescent="0.25">
      <c r="A64" s="23">
        <f t="shared" si="14"/>
        <v>1.2612423187785447E-3</v>
      </c>
      <c r="B64" s="69">
        <v>3</v>
      </c>
      <c r="C64" s="70"/>
      <c r="E64" s="4" t="str">
        <f t="shared" si="15"/>
        <v>PCB002</v>
      </c>
      <c r="F64" s="75">
        <f t="shared" ref="F64:T64" si="19">IF(LEN(F41)&lt;1,"",EXP(-(F$23*$D41^-0.47/10^$C41*F$37/F$33)))</f>
        <v>1.2612423187785447E-3</v>
      </c>
      <c r="G64" s="76">
        <f t="shared" si="19"/>
        <v>7.0596744316393539E-2</v>
      </c>
      <c r="H64" s="76">
        <f t="shared" si="19"/>
        <v>0.24770270360762225</v>
      </c>
      <c r="I64" s="76">
        <f t="shared" si="19"/>
        <v>5.9020825188681554E-3</v>
      </c>
      <c r="J64" s="76">
        <f t="shared" si="19"/>
        <v>1.705415943090715E-2</v>
      </c>
      <c r="K64" s="76">
        <f t="shared" si="19"/>
        <v>4.6455762321615267E-2</v>
      </c>
      <c r="L64" s="76">
        <f t="shared" si="19"/>
        <v>0.1488176722821867</v>
      </c>
      <c r="M64" s="76">
        <f t="shared" si="19"/>
        <v>0.16850806464832879</v>
      </c>
      <c r="N64" s="76" t="str">
        <f t="shared" si="19"/>
        <v/>
      </c>
      <c r="O64" s="76" t="str">
        <f t="shared" si="19"/>
        <v/>
      </c>
      <c r="P64" s="76" t="str">
        <f t="shared" si="19"/>
        <v/>
      </c>
      <c r="Q64" s="76" t="str">
        <f t="shared" si="19"/>
        <v/>
      </c>
      <c r="R64" s="76" t="str">
        <f t="shared" si="19"/>
        <v/>
      </c>
      <c r="S64" s="76" t="str">
        <f t="shared" si="19"/>
        <v/>
      </c>
      <c r="T64" s="76" t="str">
        <f t="shared" si="19"/>
        <v/>
      </c>
      <c r="U64" s="76" t="str">
        <f t="shared" si="17"/>
        <v/>
      </c>
      <c r="V64" s="76" t="str">
        <f t="shared" si="17"/>
        <v/>
      </c>
      <c r="W64" s="74" t="str">
        <f>IF(LEN(W41)&lt;1,"",EXP(-(W$23*$D41^-0.47/10^$C41*W$37/W$33)))</f>
        <v/>
      </c>
    </row>
    <row r="65" spans="1:23" x14ac:dyDescent="0.25">
      <c r="A65" s="23">
        <f t="shared" si="14"/>
        <v>5.5852478847444418E-4</v>
      </c>
      <c r="B65" s="69">
        <v>4</v>
      </c>
      <c r="C65" s="70"/>
      <c r="E65" s="4" t="str">
        <f t="shared" si="15"/>
        <v>PCB003</v>
      </c>
      <c r="F65" s="75">
        <f t="shared" ref="F65:T65" si="20">IF(LEN(F42)&lt;1,"",EXP(-(F$23*$D42^-0.47/10^$C42*F$37/F$33)))</f>
        <v>5.5852478847444418E-4</v>
      </c>
      <c r="G65" s="76">
        <f t="shared" si="20"/>
        <v>5.1087559742179212E-2</v>
      </c>
      <c r="H65" s="76">
        <f t="shared" si="20"/>
        <v>0.20891956521217334</v>
      </c>
      <c r="I65" s="76">
        <f t="shared" si="20"/>
        <v>3.1551992243118491E-3</v>
      </c>
      <c r="J65" s="76">
        <f t="shared" si="20"/>
        <v>1.037721912101479E-2</v>
      </c>
      <c r="K65" s="76">
        <f t="shared" si="20"/>
        <v>3.1944332843755814E-2</v>
      </c>
      <c r="L65" s="76">
        <f t="shared" si="20"/>
        <v>0.11795139702890474</v>
      </c>
      <c r="M65" s="76">
        <f t="shared" si="20"/>
        <v>0.13559826813447598</v>
      </c>
      <c r="N65" s="76" t="str">
        <f t="shared" si="20"/>
        <v/>
      </c>
      <c r="O65" s="76" t="str">
        <f t="shared" si="20"/>
        <v/>
      </c>
      <c r="P65" s="76" t="str">
        <f t="shared" si="20"/>
        <v/>
      </c>
      <c r="Q65" s="76" t="str">
        <f t="shared" si="20"/>
        <v/>
      </c>
      <c r="R65" s="76" t="str">
        <f t="shared" si="20"/>
        <v/>
      </c>
      <c r="S65" s="76" t="str">
        <f t="shared" si="20"/>
        <v/>
      </c>
      <c r="T65" s="76" t="str">
        <f t="shared" si="20"/>
        <v/>
      </c>
      <c r="U65" s="76" t="str">
        <f t="shared" si="17"/>
        <v/>
      </c>
      <c r="V65" s="76" t="str">
        <f t="shared" si="17"/>
        <v/>
      </c>
      <c r="W65" s="74" t="str">
        <f>IF(LEN(W42)&lt;1,"",EXP(-(W$23*$D42^-0.47/10^$C42*W$37/W$33)))</f>
        <v/>
      </c>
    </row>
    <row r="66" spans="1:23" x14ac:dyDescent="0.25">
      <c r="A66" s="23">
        <f t="shared" si="14"/>
        <v>1.5555883002736104E-2</v>
      </c>
      <c r="B66" s="69">
        <v>5</v>
      </c>
      <c r="C66" s="70"/>
      <c r="E66" s="4" t="str">
        <f t="shared" si="15"/>
        <v>PCB010</v>
      </c>
      <c r="F66" s="75">
        <f t="shared" ref="F66:W66" si="21">IF(LEN(F43)&lt;1,"",EXP(-(F$23*$D43^-0.47/10^$C43*F$37/F$33)))</f>
        <v>1.5555883002736104E-2</v>
      </c>
      <c r="G66" s="76">
        <f t="shared" si="21"/>
        <v>0.19144202522339379</v>
      </c>
      <c r="H66" s="76">
        <f t="shared" si="21"/>
        <v>0.41881389012496129</v>
      </c>
      <c r="I66" s="76">
        <f t="shared" si="21"/>
        <v>4.0726148684753195E-2</v>
      </c>
      <c r="J66" s="76">
        <f t="shared" si="21"/>
        <v>7.8935032905724289E-2</v>
      </c>
      <c r="K66" s="76">
        <f t="shared" si="21"/>
        <v>0.14746562975964891</v>
      </c>
      <c r="L66" s="76">
        <f t="shared" si="21"/>
        <v>0.30480406202072441</v>
      </c>
      <c r="M66" s="76">
        <f t="shared" si="21"/>
        <v>0.32936473840417918</v>
      </c>
      <c r="N66" s="76" t="str">
        <f t="shared" si="21"/>
        <v/>
      </c>
      <c r="O66" s="76" t="str">
        <f t="shared" si="21"/>
        <v/>
      </c>
      <c r="P66" s="76" t="str">
        <f t="shared" si="21"/>
        <v/>
      </c>
      <c r="Q66" s="76" t="str">
        <f t="shared" si="21"/>
        <v/>
      </c>
      <c r="R66" s="76" t="str">
        <f t="shared" si="21"/>
        <v/>
      </c>
      <c r="S66" s="76" t="str">
        <f t="shared" si="21"/>
        <v/>
      </c>
      <c r="T66" s="76" t="str">
        <f t="shared" si="21"/>
        <v/>
      </c>
      <c r="U66" s="76" t="str">
        <f t="shared" si="17"/>
        <v/>
      </c>
      <c r="V66" s="76" t="str">
        <f t="shared" si="17"/>
        <v/>
      </c>
      <c r="W66" s="74" t="str">
        <f t="shared" si="21"/>
        <v/>
      </c>
    </row>
    <row r="67" spans="1:23" x14ac:dyDescent="0.25">
      <c r="A67" s="23">
        <f t="shared" si="14"/>
        <v>0.29427012929142532</v>
      </c>
      <c r="B67" s="69">
        <v>6</v>
      </c>
      <c r="C67" s="70"/>
      <c r="E67" s="4" t="str">
        <f t="shared" si="15"/>
        <v>PCB014</v>
      </c>
      <c r="F67" s="75">
        <f t="shared" ref="F67:W67" si="22">IF(LEN(F44)&lt;1,"",EXP(-(F$23*$D44^-0.47/10^$C44*F$37/F$33)))</f>
        <v>0.29427012929142532</v>
      </c>
      <c r="G67" s="76">
        <f t="shared" si="22"/>
        <v>0.61524721755868617</v>
      </c>
      <c r="H67" s="76">
        <f t="shared" si="22"/>
        <v>0.77436016534966523</v>
      </c>
      <c r="I67" s="76">
        <f t="shared" si="22"/>
        <v>0.39044136413571578</v>
      </c>
      <c r="J67" s="76">
        <f t="shared" si="22"/>
        <v>0.47423986751092906</v>
      </c>
      <c r="K67" s="76">
        <f t="shared" si="22"/>
        <v>0.5698314692130888</v>
      </c>
      <c r="L67" s="76">
        <f t="shared" si="22"/>
        <v>0.70533596579126323</v>
      </c>
      <c r="M67" s="76">
        <f t="shared" si="22"/>
        <v>0.72158063587217258</v>
      </c>
      <c r="N67" s="76" t="str">
        <f t="shared" si="22"/>
        <v/>
      </c>
      <c r="O67" s="76" t="str">
        <f t="shared" si="22"/>
        <v/>
      </c>
      <c r="P67" s="76" t="str">
        <f t="shared" si="22"/>
        <v/>
      </c>
      <c r="Q67" s="76" t="str">
        <f t="shared" si="22"/>
        <v/>
      </c>
      <c r="R67" s="76" t="str">
        <f t="shared" si="22"/>
        <v/>
      </c>
      <c r="S67" s="76" t="str">
        <f t="shared" si="22"/>
        <v/>
      </c>
      <c r="T67" s="76" t="str">
        <f t="shared" si="22"/>
        <v/>
      </c>
      <c r="U67" s="76" t="str">
        <f t="shared" si="17"/>
        <v/>
      </c>
      <c r="V67" s="76" t="str">
        <f t="shared" si="17"/>
        <v/>
      </c>
      <c r="W67" s="74" t="str">
        <f t="shared" si="22"/>
        <v/>
      </c>
    </row>
    <row r="68" spans="1:23" x14ac:dyDescent="0.25">
      <c r="A68" s="23">
        <f t="shared" si="14"/>
        <v>0.40530112884384578</v>
      </c>
      <c r="B68" s="69">
        <v>7</v>
      </c>
      <c r="C68" s="70"/>
      <c r="E68" s="4" t="str">
        <f t="shared" si="15"/>
        <v>PCB030</v>
      </c>
      <c r="F68" s="75">
        <f t="shared" ref="F68:W68" si="23">IF(LEN(F45)&lt;1,"",EXP(-(F$23*$D45^-0.47/10^$C45*F$37/F$33)))</f>
        <v>0.40530112884384578</v>
      </c>
      <c r="G68" s="76">
        <f t="shared" si="23"/>
        <v>0.69864468397253554</v>
      </c>
      <c r="H68" s="76">
        <f t="shared" si="23"/>
        <v>0.82795578355330313</v>
      </c>
      <c r="I68" s="76">
        <f t="shared" si="23"/>
        <v>0.49939891178281276</v>
      </c>
      <c r="J68" s="76">
        <f t="shared" si="23"/>
        <v>0.57648883166516163</v>
      </c>
      <c r="K68" s="76">
        <f t="shared" si="23"/>
        <v>0.66018969702046504</v>
      </c>
      <c r="L68" s="76">
        <f t="shared" si="23"/>
        <v>0.77280781367039819</v>
      </c>
      <c r="M68" s="76">
        <f t="shared" si="23"/>
        <v>0.78590922901726412</v>
      </c>
      <c r="N68" s="76" t="str">
        <f t="shared" si="23"/>
        <v/>
      </c>
      <c r="O68" s="76" t="str">
        <f t="shared" si="23"/>
        <v/>
      </c>
      <c r="P68" s="76" t="str">
        <f t="shared" si="23"/>
        <v/>
      </c>
      <c r="Q68" s="76" t="str">
        <f t="shared" si="23"/>
        <v/>
      </c>
      <c r="R68" s="76" t="str">
        <f t="shared" si="23"/>
        <v/>
      </c>
      <c r="S68" s="76" t="str">
        <f t="shared" si="23"/>
        <v/>
      </c>
      <c r="T68" s="76" t="str">
        <f t="shared" si="23"/>
        <v/>
      </c>
      <c r="U68" s="76" t="str">
        <f t="shared" si="17"/>
        <v/>
      </c>
      <c r="V68" s="76" t="str">
        <f t="shared" si="17"/>
        <v/>
      </c>
      <c r="W68" s="74" t="str">
        <f t="shared" si="23"/>
        <v/>
      </c>
    </row>
    <row r="69" spans="1:23" x14ac:dyDescent="0.25">
      <c r="A69" s="23">
        <f t="shared" si="14"/>
        <v>0.76175370666083897</v>
      </c>
      <c r="B69" s="69">
        <v>8</v>
      </c>
      <c r="C69" s="70"/>
      <c r="E69" s="4" t="str">
        <f t="shared" si="15"/>
        <v>PCB050</v>
      </c>
      <c r="F69" s="75">
        <f t="shared" ref="F69:W69" si="24">IF(LEN(F46)&lt;1,"",EXP(-(F$23*$D46^-0.47/10^$C46*F$37/F$33)))</f>
        <v>0.76175370666083897</v>
      </c>
      <c r="G69" s="76">
        <f t="shared" si="24"/>
        <v>0.89757534615632706</v>
      </c>
      <c r="H69" s="76">
        <f t="shared" si="24"/>
        <v>0.94469952374819266</v>
      </c>
      <c r="I69" s="76">
        <f t="shared" si="24"/>
        <v>0.81121399211072653</v>
      </c>
      <c r="J69" s="76">
        <f t="shared" si="24"/>
        <v>0.84707308465956299</v>
      </c>
      <c r="K69" s="76">
        <f t="shared" si="24"/>
        <v>0.88239311298102285</v>
      </c>
      <c r="L69" s="76">
        <f t="shared" si="24"/>
        <v>0.92528050182029298</v>
      </c>
      <c r="M69" s="76">
        <f t="shared" si="24"/>
        <v>0.92997940774927335</v>
      </c>
      <c r="N69" s="76" t="str">
        <f t="shared" si="24"/>
        <v/>
      </c>
      <c r="O69" s="76" t="str">
        <f t="shared" si="24"/>
        <v/>
      </c>
      <c r="P69" s="76" t="str">
        <f t="shared" si="24"/>
        <v/>
      </c>
      <c r="Q69" s="76" t="str">
        <f t="shared" si="24"/>
        <v/>
      </c>
      <c r="R69" s="76" t="str">
        <f t="shared" si="24"/>
        <v/>
      </c>
      <c r="S69" s="76" t="str">
        <f t="shared" si="24"/>
        <v/>
      </c>
      <c r="T69" s="76" t="str">
        <f t="shared" si="24"/>
        <v/>
      </c>
      <c r="U69" s="76" t="str">
        <f t="shared" si="17"/>
        <v/>
      </c>
      <c r="V69" s="76" t="str">
        <f t="shared" si="17"/>
        <v/>
      </c>
      <c r="W69" s="74" t="str">
        <f t="shared" si="24"/>
        <v/>
      </c>
    </row>
    <row r="70" spans="1:23" x14ac:dyDescent="0.25">
      <c r="A70" s="23">
        <f t="shared" si="14"/>
        <v>0.53979079918861017</v>
      </c>
      <c r="B70" s="69">
        <v>9</v>
      </c>
      <c r="C70" s="70"/>
      <c r="E70" s="4" t="str">
        <f t="shared" si="15"/>
        <v>PCB021</v>
      </c>
      <c r="F70" s="75">
        <f t="shared" ref="F70:W70" si="25">IF(LEN(F47)&lt;1,"",EXP(-(F$23*$D47^-0.47/10^$C47*F$37/F$33)))</f>
        <v>0.53979079918861017</v>
      </c>
      <c r="G70" s="76">
        <f t="shared" si="25"/>
        <v>0.78283828155207547</v>
      </c>
      <c r="H70" s="76" t="str">
        <f t="shared" si="25"/>
        <v/>
      </c>
      <c r="I70" s="76" t="str">
        <f t="shared" si="25"/>
        <v/>
      </c>
      <c r="J70" s="76">
        <f t="shared" si="25"/>
        <v>0.68657698472538853</v>
      </c>
      <c r="K70" s="76">
        <f t="shared" si="25"/>
        <v>0.75315751032547706</v>
      </c>
      <c r="L70" s="76">
        <f t="shared" si="25"/>
        <v>0.83865849485244603</v>
      </c>
      <c r="M70" s="76">
        <f t="shared" si="25"/>
        <v>0.84833922208032453</v>
      </c>
      <c r="N70" s="76" t="str">
        <f t="shared" si="25"/>
        <v/>
      </c>
      <c r="O70" s="76" t="str">
        <f t="shared" si="25"/>
        <v/>
      </c>
      <c r="P70" s="76" t="str">
        <f t="shared" si="25"/>
        <v/>
      </c>
      <c r="Q70" s="76" t="str">
        <f t="shared" si="25"/>
        <v/>
      </c>
      <c r="R70" s="76" t="str">
        <f t="shared" si="25"/>
        <v/>
      </c>
      <c r="S70" s="76" t="str">
        <f t="shared" si="25"/>
        <v/>
      </c>
      <c r="T70" s="76" t="str">
        <f t="shared" si="25"/>
        <v/>
      </c>
      <c r="U70" s="76" t="str">
        <f t="shared" si="17"/>
        <v/>
      </c>
      <c r="V70" s="76" t="str">
        <f t="shared" si="17"/>
        <v/>
      </c>
      <c r="W70" s="74" t="str">
        <f t="shared" si="25"/>
        <v/>
      </c>
    </row>
    <row r="71" spans="1:23" x14ac:dyDescent="0.25">
      <c r="A71" s="23">
        <f t="shared" si="14"/>
        <v>0.91067792884797871</v>
      </c>
      <c r="B71" s="69">
        <v>10</v>
      </c>
      <c r="C71" s="70"/>
      <c r="E71" s="4" t="str">
        <f t="shared" si="15"/>
        <v>PCB104</v>
      </c>
      <c r="F71" s="75">
        <f t="shared" ref="F71:W71" si="26">IF(LEN(F48)&lt;1,"",EXP(-(F$23*$D48^-0.47/10^$C48*F$37/F$33)))</f>
        <v>0.91067792884797871</v>
      </c>
      <c r="G71" s="76">
        <f t="shared" si="26"/>
        <v>0.96352851864512412</v>
      </c>
      <c r="H71" s="76">
        <f t="shared" si="26"/>
        <v>0.98063036578860596</v>
      </c>
      <c r="I71" s="76">
        <f t="shared" si="26"/>
        <v>0.93059009245861513</v>
      </c>
      <c r="J71" s="76">
        <f t="shared" si="26"/>
        <v>0.94453345545034639</v>
      </c>
      <c r="K71" s="76">
        <f t="shared" si="26"/>
        <v>0.95789352058483046</v>
      </c>
      <c r="L71" s="76">
        <f t="shared" si="26"/>
        <v>0.97365238266602883</v>
      </c>
      <c r="M71" s="76">
        <f t="shared" si="26"/>
        <v>0.97534962345720133</v>
      </c>
      <c r="N71" s="76" t="str">
        <f t="shared" si="26"/>
        <v/>
      </c>
      <c r="O71" s="76" t="str">
        <f t="shared" si="26"/>
        <v/>
      </c>
      <c r="P71" s="76" t="str">
        <f t="shared" si="26"/>
        <v/>
      </c>
      <c r="Q71" s="76" t="str">
        <f t="shared" si="26"/>
        <v/>
      </c>
      <c r="R71" s="76" t="str">
        <f t="shared" si="26"/>
        <v/>
      </c>
      <c r="S71" s="76" t="str">
        <f t="shared" si="26"/>
        <v/>
      </c>
      <c r="T71" s="76" t="str">
        <f t="shared" si="26"/>
        <v/>
      </c>
      <c r="U71" s="76" t="str">
        <f t="shared" si="17"/>
        <v/>
      </c>
      <c r="V71" s="76" t="str">
        <f t="shared" si="17"/>
        <v/>
      </c>
      <c r="W71" s="74" t="str">
        <f t="shared" si="26"/>
        <v/>
      </c>
    </row>
    <row r="72" spans="1:23" x14ac:dyDescent="0.25">
      <c r="A72" s="23">
        <f t="shared" si="14"/>
        <v>0.8670922579651148</v>
      </c>
      <c r="B72" s="69">
        <v>11</v>
      </c>
      <c r="C72" s="70"/>
      <c r="E72" s="4" t="str">
        <f t="shared" si="15"/>
        <v>PCB055</v>
      </c>
      <c r="F72" s="75">
        <f t="shared" ref="F72:W72" si="27">IF(LEN(F49)&lt;1,"",EXP(-(F$23*$D49^-0.47/10^$C49*F$37/F$33)))</f>
        <v>0.8670922579651148</v>
      </c>
      <c r="G72" s="76">
        <f t="shared" si="27"/>
        <v>0.94494594127974219</v>
      </c>
      <c r="H72" s="76">
        <f t="shared" si="27"/>
        <v>0.97062783380895257</v>
      </c>
      <c r="I72" s="76">
        <f t="shared" si="27"/>
        <v>0.89615414050867237</v>
      </c>
      <c r="J72" s="76">
        <f t="shared" si="27"/>
        <v>0.91669987082357385</v>
      </c>
      <c r="K72" s="76">
        <f t="shared" si="27"/>
        <v>0.93653584302364046</v>
      </c>
      <c r="L72" s="76">
        <f t="shared" si="27"/>
        <v>0.96012038185836224</v>
      </c>
      <c r="M72" s="76">
        <f t="shared" si="27"/>
        <v>0.96267246738160117</v>
      </c>
      <c r="N72" s="76" t="str">
        <f t="shared" si="27"/>
        <v/>
      </c>
      <c r="O72" s="76" t="str">
        <f t="shared" si="27"/>
        <v/>
      </c>
      <c r="P72" s="76" t="str">
        <f t="shared" si="27"/>
        <v/>
      </c>
      <c r="Q72" s="76" t="str">
        <f t="shared" si="27"/>
        <v/>
      </c>
      <c r="R72" s="76" t="str">
        <f t="shared" si="27"/>
        <v/>
      </c>
      <c r="S72" s="76" t="str">
        <f t="shared" si="27"/>
        <v/>
      </c>
      <c r="T72" s="76" t="str">
        <f t="shared" si="27"/>
        <v/>
      </c>
      <c r="U72" s="76" t="str">
        <f t="shared" si="17"/>
        <v/>
      </c>
      <c r="V72" s="76" t="str">
        <f t="shared" si="17"/>
        <v/>
      </c>
      <c r="W72" s="74" t="str">
        <f t="shared" si="27"/>
        <v/>
      </c>
    </row>
    <row r="73" spans="1:23" x14ac:dyDescent="0.25">
      <c r="A73" s="23">
        <f t="shared" si="14"/>
        <v>0.88718050573951868</v>
      </c>
      <c r="B73" s="69">
        <v>12</v>
      </c>
      <c r="C73" s="70"/>
      <c r="E73" s="4" t="str">
        <f t="shared" si="15"/>
        <v>PCB078</v>
      </c>
      <c r="F73" s="75">
        <f t="shared" ref="F73:W73" si="28">IF(LEN(F50)&lt;1,"",EXP(-(F$23*$D50^-0.47/10^$C50*F$37/F$33)))</f>
        <v>0.88718050573951868</v>
      </c>
      <c r="G73" s="76">
        <f t="shared" si="28"/>
        <v>0.9535788143975733</v>
      </c>
      <c r="H73" s="76">
        <f t="shared" si="28"/>
        <v>0.97528616743573127</v>
      </c>
      <c r="I73" s="76">
        <f t="shared" si="28"/>
        <v>0.91207390147983436</v>
      </c>
      <c r="J73" s="76">
        <f t="shared" si="28"/>
        <v>0.9295943352653856</v>
      </c>
      <c r="K73" s="76">
        <f t="shared" si="28"/>
        <v>0.94644977108466699</v>
      </c>
      <c r="L73" s="76">
        <f t="shared" si="28"/>
        <v>0.96641614136281584</v>
      </c>
      <c r="M73" s="76">
        <f t="shared" si="28"/>
        <v>0.96857195050802791</v>
      </c>
      <c r="N73" s="76" t="str">
        <f t="shared" si="28"/>
        <v/>
      </c>
      <c r="O73" s="76" t="str">
        <f t="shared" si="28"/>
        <v/>
      </c>
      <c r="P73" s="76" t="str">
        <f t="shared" si="28"/>
        <v/>
      </c>
      <c r="Q73" s="76" t="str">
        <f t="shared" si="28"/>
        <v/>
      </c>
      <c r="R73" s="76" t="str">
        <f t="shared" si="28"/>
        <v/>
      </c>
      <c r="S73" s="76" t="str">
        <f t="shared" si="28"/>
        <v/>
      </c>
      <c r="T73" s="76" t="str">
        <f t="shared" si="28"/>
        <v/>
      </c>
      <c r="U73" s="76" t="str">
        <f t="shared" si="17"/>
        <v/>
      </c>
      <c r="V73" s="76" t="str">
        <f t="shared" si="17"/>
        <v/>
      </c>
      <c r="W73" s="74" t="str">
        <f t="shared" si="28"/>
        <v/>
      </c>
    </row>
    <row r="74" spans="1:23" x14ac:dyDescent="0.25">
      <c r="A74" s="23">
        <f t="shared" si="14"/>
        <v>0.97042526643356719</v>
      </c>
      <c r="B74" s="69">
        <v>13</v>
      </c>
      <c r="C74" s="70"/>
      <c r="E74" s="4" t="str">
        <f t="shared" si="15"/>
        <v>PCB145</v>
      </c>
      <c r="F74" s="75">
        <f t="shared" ref="F74:W74" si="29">IF(LEN(F51)&lt;1,"",EXP(-(F$23*$D51^-0.47/10^$C51*F$37/F$33)))</f>
        <v>0.97042526643356719</v>
      </c>
      <c r="G74" s="76">
        <f t="shared" si="29"/>
        <v>0.98815007294847446</v>
      </c>
      <c r="H74" s="76">
        <f t="shared" si="29"/>
        <v>0.99374387688560373</v>
      </c>
      <c r="I74" s="76">
        <f t="shared" si="29"/>
        <v>0.97718335425812375</v>
      </c>
      <c r="J74" s="76">
        <f t="shared" si="29"/>
        <v>0.98185740919772946</v>
      </c>
      <c r="K74" s="76">
        <f t="shared" si="29"/>
        <v>0.98629217408775249</v>
      </c>
      <c r="L74" s="76">
        <f t="shared" si="29"/>
        <v>0.99146952905542507</v>
      </c>
      <c r="M74" s="76">
        <f t="shared" si="29"/>
        <v>0.99202373032415969</v>
      </c>
      <c r="N74" s="76" t="str">
        <f t="shared" si="29"/>
        <v/>
      </c>
      <c r="O74" s="76" t="str">
        <f t="shared" si="29"/>
        <v/>
      </c>
      <c r="P74" s="76" t="str">
        <f t="shared" si="29"/>
        <v/>
      </c>
      <c r="Q74" s="76" t="str">
        <f t="shared" si="29"/>
        <v/>
      </c>
      <c r="R74" s="76" t="str">
        <f t="shared" si="29"/>
        <v/>
      </c>
      <c r="S74" s="76" t="str">
        <f t="shared" si="29"/>
        <v/>
      </c>
      <c r="T74" s="76" t="str">
        <f t="shared" si="29"/>
        <v/>
      </c>
      <c r="U74" s="76" t="str">
        <f t="shared" si="17"/>
        <v/>
      </c>
      <c r="V74" s="76" t="str">
        <f t="shared" si="17"/>
        <v/>
      </c>
      <c r="W74" s="74" t="str">
        <f t="shared" si="29"/>
        <v/>
      </c>
    </row>
    <row r="75" spans="1:23" x14ac:dyDescent="0.25">
      <c r="A75" s="23">
        <f t="shared" si="14"/>
        <v>0.99699011632566081</v>
      </c>
      <c r="B75" s="69">
        <v>14</v>
      </c>
      <c r="C75" s="70"/>
      <c r="E75" s="4" t="str">
        <f t="shared" si="15"/>
        <v>PCB204</v>
      </c>
      <c r="F75" s="75">
        <f t="shared" ref="F75:W75" si="30">IF(LEN(F52)&lt;1,"",EXP(-(F$23*$D52^-0.47/10^$C52*F$37/F$33)))</f>
        <v>0.99699011632566081</v>
      </c>
      <c r="G75" s="76">
        <f t="shared" si="30"/>
        <v>0.99880374877474454</v>
      </c>
      <c r="H75" s="76">
        <f t="shared" si="30"/>
        <v>0.99937004264969653</v>
      </c>
      <c r="I75" s="76">
        <f t="shared" si="30"/>
        <v>0.99768510335114213</v>
      </c>
      <c r="J75" s="76">
        <f t="shared" si="30"/>
        <v>0.9981632480348267</v>
      </c>
      <c r="K75" s="76">
        <f t="shared" si="30"/>
        <v>0.99861502460491314</v>
      </c>
      <c r="L75" s="76">
        <f t="shared" si="30"/>
        <v>0.99914014375898041</v>
      </c>
      <c r="M75" s="76">
        <f t="shared" si="30"/>
        <v>0.99919620800973719</v>
      </c>
      <c r="N75" s="76" t="str">
        <f t="shared" si="30"/>
        <v/>
      </c>
      <c r="O75" s="76" t="str">
        <f t="shared" si="30"/>
        <v/>
      </c>
      <c r="P75" s="76" t="str">
        <f t="shared" si="30"/>
        <v/>
      </c>
      <c r="Q75" s="76" t="str">
        <f t="shared" si="30"/>
        <v/>
      </c>
      <c r="R75" s="76" t="str">
        <f t="shared" si="30"/>
        <v/>
      </c>
      <c r="S75" s="76" t="str">
        <f t="shared" si="30"/>
        <v/>
      </c>
      <c r="T75" s="76" t="str">
        <f t="shared" si="30"/>
        <v/>
      </c>
      <c r="U75" s="76" t="str">
        <f t="shared" si="17"/>
        <v/>
      </c>
      <c r="V75" s="76" t="str">
        <f t="shared" si="17"/>
        <v/>
      </c>
      <c r="W75" s="74" t="str">
        <f t="shared" si="30"/>
        <v/>
      </c>
    </row>
    <row r="76" spans="1:23" x14ac:dyDescent="0.25">
      <c r="A76" s="23"/>
      <c r="B76" s="69">
        <v>15</v>
      </c>
      <c r="C76" s="70"/>
      <c r="E76" s="4">
        <f t="shared" ref="E76:E83" si="31">E53</f>
        <v>0</v>
      </c>
      <c r="F76" s="75" t="str">
        <f t="shared" ref="F76:W76" si="32">IF(LEN(F53)&lt;1,"",EXP(-(F$23*$D53^-0.47/10^$C53*F$37/F$33)))</f>
        <v/>
      </c>
      <c r="G76" s="76" t="str">
        <f t="shared" si="32"/>
        <v/>
      </c>
      <c r="H76" s="76" t="str">
        <f t="shared" si="32"/>
        <v/>
      </c>
      <c r="I76" s="76" t="str">
        <f t="shared" si="32"/>
        <v/>
      </c>
      <c r="J76" s="76" t="str">
        <f t="shared" si="32"/>
        <v/>
      </c>
      <c r="K76" s="76" t="str">
        <f t="shared" si="32"/>
        <v/>
      </c>
      <c r="L76" s="76" t="str">
        <f t="shared" si="32"/>
        <v/>
      </c>
      <c r="M76" s="76" t="str">
        <f t="shared" si="32"/>
        <v/>
      </c>
      <c r="N76" s="76" t="str">
        <f t="shared" si="32"/>
        <v/>
      </c>
      <c r="O76" s="76" t="str">
        <f t="shared" si="32"/>
        <v/>
      </c>
      <c r="P76" s="76" t="str">
        <f t="shared" si="32"/>
        <v/>
      </c>
      <c r="Q76" s="76" t="str">
        <f t="shared" si="32"/>
        <v/>
      </c>
      <c r="R76" s="76" t="str">
        <f t="shared" si="32"/>
        <v/>
      </c>
      <c r="S76" s="76" t="str">
        <f t="shared" si="32"/>
        <v/>
      </c>
      <c r="T76" s="76" t="str">
        <f t="shared" si="32"/>
        <v/>
      </c>
      <c r="U76" s="76" t="str">
        <f t="shared" si="32"/>
        <v/>
      </c>
      <c r="V76" s="76" t="str">
        <f t="shared" si="32"/>
        <v/>
      </c>
      <c r="W76" s="74" t="str">
        <f t="shared" si="32"/>
        <v/>
      </c>
    </row>
    <row r="77" spans="1:23" x14ac:dyDescent="0.25">
      <c r="A77" s="23"/>
      <c r="B77" s="69">
        <v>16</v>
      </c>
      <c r="C77" s="70"/>
      <c r="E77" s="4">
        <f t="shared" si="31"/>
        <v>0</v>
      </c>
      <c r="F77" s="75" t="str">
        <f t="shared" ref="F77:W77" si="33">IF(LEN(F54)&lt;1,"",EXP(-(F$23*$D54^-0.47/10^$C54*F$37/F$33)))</f>
        <v/>
      </c>
      <c r="G77" s="76" t="str">
        <f t="shared" si="33"/>
        <v/>
      </c>
      <c r="H77" s="76" t="str">
        <f t="shared" si="33"/>
        <v/>
      </c>
      <c r="I77" s="76" t="str">
        <f t="shared" si="33"/>
        <v/>
      </c>
      <c r="J77" s="76" t="str">
        <f t="shared" si="33"/>
        <v/>
      </c>
      <c r="K77" s="76" t="str">
        <f t="shared" si="33"/>
        <v/>
      </c>
      <c r="L77" s="76" t="str">
        <f t="shared" si="33"/>
        <v/>
      </c>
      <c r="M77" s="76" t="str">
        <f t="shared" si="33"/>
        <v/>
      </c>
      <c r="N77" s="76" t="str">
        <f t="shared" si="33"/>
        <v/>
      </c>
      <c r="O77" s="76" t="str">
        <f t="shared" si="33"/>
        <v/>
      </c>
      <c r="P77" s="76" t="str">
        <f t="shared" si="33"/>
        <v/>
      </c>
      <c r="Q77" s="76" t="str">
        <f t="shared" si="33"/>
        <v/>
      </c>
      <c r="R77" s="76" t="str">
        <f t="shared" si="33"/>
        <v/>
      </c>
      <c r="S77" s="76" t="str">
        <f t="shared" si="33"/>
        <v/>
      </c>
      <c r="T77" s="76" t="str">
        <f t="shared" si="33"/>
        <v/>
      </c>
      <c r="U77" s="76" t="str">
        <f t="shared" si="33"/>
        <v/>
      </c>
      <c r="V77" s="76" t="str">
        <f t="shared" si="33"/>
        <v/>
      </c>
      <c r="W77" s="74" t="str">
        <f t="shared" si="33"/>
        <v/>
      </c>
    </row>
    <row r="78" spans="1:23" x14ac:dyDescent="0.25">
      <c r="A78" s="23" t="str">
        <f t="shared" si="14"/>
        <v/>
      </c>
      <c r="B78" s="69">
        <v>17</v>
      </c>
      <c r="C78" s="70"/>
      <c r="E78" s="4">
        <f t="shared" si="31"/>
        <v>0</v>
      </c>
      <c r="F78" s="75" t="str">
        <f t="shared" ref="F78:W78" si="34">IF(LEN(F55)&lt;1,"",EXP(-(F$23*$D55^-0.47/10^$C55*F$37/F$33)))</f>
        <v/>
      </c>
      <c r="G78" s="76" t="str">
        <f t="shared" si="34"/>
        <v/>
      </c>
      <c r="H78" s="76" t="str">
        <f t="shared" si="34"/>
        <v/>
      </c>
      <c r="I78" s="76" t="str">
        <f t="shared" si="34"/>
        <v/>
      </c>
      <c r="J78" s="76" t="str">
        <f t="shared" si="34"/>
        <v/>
      </c>
      <c r="K78" s="76" t="str">
        <f t="shared" si="34"/>
        <v/>
      </c>
      <c r="L78" s="76" t="str">
        <f t="shared" si="34"/>
        <v/>
      </c>
      <c r="M78" s="76" t="str">
        <f t="shared" si="34"/>
        <v/>
      </c>
      <c r="N78" s="76" t="str">
        <f t="shared" si="34"/>
        <v/>
      </c>
      <c r="O78" s="76" t="str">
        <f t="shared" si="34"/>
        <v/>
      </c>
      <c r="P78" s="76" t="str">
        <f t="shared" si="34"/>
        <v/>
      </c>
      <c r="Q78" s="76" t="str">
        <f t="shared" si="34"/>
        <v/>
      </c>
      <c r="R78" s="76" t="str">
        <f t="shared" si="34"/>
        <v/>
      </c>
      <c r="S78" s="76" t="str">
        <f t="shared" si="34"/>
        <v/>
      </c>
      <c r="T78" s="76" t="str">
        <f t="shared" si="34"/>
        <v/>
      </c>
      <c r="U78" s="76" t="str">
        <f t="shared" si="34"/>
        <v/>
      </c>
      <c r="V78" s="76" t="str">
        <f t="shared" si="34"/>
        <v/>
      </c>
      <c r="W78" s="74" t="str">
        <f t="shared" si="34"/>
        <v/>
      </c>
    </row>
    <row r="79" spans="1:23" x14ac:dyDescent="0.25">
      <c r="A79" s="23" t="str">
        <f t="shared" si="14"/>
        <v/>
      </c>
      <c r="B79" s="69">
        <v>18</v>
      </c>
      <c r="C79" s="70"/>
      <c r="E79" s="4">
        <f t="shared" si="31"/>
        <v>0</v>
      </c>
      <c r="F79" s="75" t="str">
        <f t="shared" ref="F79:W79" si="35">IF(LEN(F56)&lt;1,"",EXP(-(F$23*$D56^-0.47/10^$C56*F$37/F$33)))</f>
        <v/>
      </c>
      <c r="G79" s="76" t="str">
        <f t="shared" si="35"/>
        <v/>
      </c>
      <c r="H79" s="76" t="str">
        <f t="shared" si="35"/>
        <v/>
      </c>
      <c r="I79" s="76" t="str">
        <f t="shared" si="35"/>
        <v/>
      </c>
      <c r="J79" s="76" t="str">
        <f t="shared" si="35"/>
        <v/>
      </c>
      <c r="K79" s="76" t="str">
        <f t="shared" si="35"/>
        <v/>
      </c>
      <c r="L79" s="76" t="str">
        <f t="shared" si="35"/>
        <v/>
      </c>
      <c r="M79" s="76" t="str">
        <f t="shared" si="35"/>
        <v/>
      </c>
      <c r="N79" s="76" t="str">
        <f t="shared" si="35"/>
        <v/>
      </c>
      <c r="O79" s="76" t="str">
        <f t="shared" si="35"/>
        <v/>
      </c>
      <c r="P79" s="76" t="str">
        <f t="shared" si="35"/>
        <v/>
      </c>
      <c r="Q79" s="76" t="str">
        <f t="shared" si="35"/>
        <v/>
      </c>
      <c r="R79" s="76" t="str">
        <f t="shared" si="35"/>
        <v/>
      </c>
      <c r="S79" s="76" t="str">
        <f t="shared" si="35"/>
        <v/>
      </c>
      <c r="T79" s="76" t="str">
        <f t="shared" si="35"/>
        <v/>
      </c>
      <c r="U79" s="76" t="str">
        <f t="shared" si="35"/>
        <v/>
      </c>
      <c r="V79" s="76" t="str">
        <f t="shared" si="35"/>
        <v/>
      </c>
      <c r="W79" s="74" t="str">
        <f t="shared" si="35"/>
        <v/>
      </c>
    </row>
    <row r="80" spans="1:23" ht="18" customHeight="1" x14ac:dyDescent="0.25">
      <c r="A80" s="23" t="str">
        <f t="shared" si="14"/>
        <v/>
      </c>
      <c r="B80" s="69">
        <v>19</v>
      </c>
      <c r="C80" s="70"/>
      <c r="E80" s="4">
        <f t="shared" si="31"/>
        <v>0</v>
      </c>
      <c r="F80" s="75" t="str">
        <f t="shared" ref="F80:W80" si="36">IF(LEN(F57)&lt;1,"",EXP(-(F$23*$D57^-0.47/10^$C57*F$37/F$33)))</f>
        <v/>
      </c>
      <c r="G80" s="76" t="str">
        <f t="shared" si="36"/>
        <v/>
      </c>
      <c r="H80" s="76" t="str">
        <f t="shared" si="36"/>
        <v/>
      </c>
      <c r="I80" s="76" t="str">
        <f t="shared" si="36"/>
        <v/>
      </c>
      <c r="J80" s="76" t="str">
        <f t="shared" si="36"/>
        <v/>
      </c>
      <c r="K80" s="76" t="str">
        <f t="shared" si="36"/>
        <v/>
      </c>
      <c r="L80" s="76" t="str">
        <f t="shared" si="36"/>
        <v/>
      </c>
      <c r="M80" s="76" t="str">
        <f t="shared" si="36"/>
        <v/>
      </c>
      <c r="N80" s="76" t="str">
        <f t="shared" si="36"/>
        <v/>
      </c>
      <c r="O80" s="76" t="str">
        <f t="shared" si="36"/>
        <v/>
      </c>
      <c r="P80" s="76" t="str">
        <f t="shared" si="36"/>
        <v/>
      </c>
      <c r="Q80" s="76" t="str">
        <f t="shared" si="36"/>
        <v/>
      </c>
      <c r="R80" s="76" t="str">
        <f t="shared" si="36"/>
        <v/>
      </c>
      <c r="S80" s="76" t="str">
        <f t="shared" si="36"/>
        <v/>
      </c>
      <c r="T80" s="76" t="str">
        <f t="shared" si="36"/>
        <v/>
      </c>
      <c r="U80" s="76" t="str">
        <f t="shared" si="36"/>
        <v/>
      </c>
      <c r="V80" s="76" t="str">
        <f t="shared" si="36"/>
        <v/>
      </c>
      <c r="W80" s="74" t="str">
        <f t="shared" si="36"/>
        <v/>
      </c>
    </row>
    <row r="81" spans="1:23" x14ac:dyDescent="0.25">
      <c r="A81" s="23" t="str">
        <f t="shared" si="14"/>
        <v/>
      </c>
      <c r="B81" s="69">
        <v>20</v>
      </c>
      <c r="C81" s="70"/>
      <c r="E81" s="4">
        <f t="shared" si="31"/>
        <v>0</v>
      </c>
      <c r="F81" s="75" t="str">
        <f t="shared" ref="F81:W81" si="37">IF(LEN(F58)&lt;1,"",EXP(-(F$23*$D58^-0.47/10^$C58*F$37/F$33)))</f>
        <v/>
      </c>
      <c r="G81" s="76" t="str">
        <f t="shared" si="37"/>
        <v/>
      </c>
      <c r="H81" s="76" t="str">
        <f t="shared" si="37"/>
        <v/>
      </c>
      <c r="I81" s="76" t="str">
        <f t="shared" si="37"/>
        <v/>
      </c>
      <c r="J81" s="76" t="str">
        <f t="shared" si="37"/>
        <v/>
      </c>
      <c r="K81" s="76" t="str">
        <f t="shared" si="37"/>
        <v/>
      </c>
      <c r="L81" s="76" t="str">
        <f t="shared" si="37"/>
        <v/>
      </c>
      <c r="M81" s="76" t="str">
        <f t="shared" si="37"/>
        <v/>
      </c>
      <c r="N81" s="76" t="str">
        <f t="shared" si="37"/>
        <v/>
      </c>
      <c r="O81" s="76" t="str">
        <f t="shared" si="37"/>
        <v/>
      </c>
      <c r="P81" s="76" t="str">
        <f t="shared" si="37"/>
        <v/>
      </c>
      <c r="Q81" s="76" t="str">
        <f t="shared" si="37"/>
        <v/>
      </c>
      <c r="R81" s="76" t="str">
        <f t="shared" si="37"/>
        <v/>
      </c>
      <c r="S81" s="76" t="str">
        <f t="shared" si="37"/>
        <v/>
      </c>
      <c r="T81" s="76" t="str">
        <f t="shared" si="37"/>
        <v/>
      </c>
      <c r="U81" s="76" t="str">
        <f t="shared" si="37"/>
        <v/>
      </c>
      <c r="V81" s="76" t="str">
        <f t="shared" si="37"/>
        <v/>
      </c>
      <c r="W81" s="74" t="str">
        <f t="shared" si="37"/>
        <v/>
      </c>
    </row>
    <row r="82" spans="1:23" x14ac:dyDescent="0.25">
      <c r="A82" s="23" t="str">
        <f t="shared" si="14"/>
        <v/>
      </c>
      <c r="B82" s="69">
        <v>21</v>
      </c>
      <c r="C82" s="70"/>
      <c r="E82" s="4">
        <f t="shared" si="31"/>
        <v>0</v>
      </c>
      <c r="F82" s="75" t="str">
        <f t="shared" ref="F82:W82" si="38">IF(LEN(F59)&lt;1,"",EXP(-(F$23*$D59^-0.47/10^$C59*F$37/F$33)))</f>
        <v/>
      </c>
      <c r="G82" s="76" t="str">
        <f t="shared" si="38"/>
        <v/>
      </c>
      <c r="H82" s="76" t="str">
        <f t="shared" si="38"/>
        <v/>
      </c>
      <c r="I82" s="76" t="str">
        <f t="shared" si="38"/>
        <v/>
      </c>
      <c r="J82" s="76" t="str">
        <f t="shared" si="38"/>
        <v/>
      </c>
      <c r="K82" s="76" t="str">
        <f t="shared" si="38"/>
        <v/>
      </c>
      <c r="L82" s="76" t="str">
        <f t="shared" si="38"/>
        <v/>
      </c>
      <c r="M82" s="76" t="str">
        <f t="shared" si="38"/>
        <v/>
      </c>
      <c r="N82" s="76" t="str">
        <f t="shared" si="38"/>
        <v/>
      </c>
      <c r="O82" s="76" t="str">
        <f t="shared" si="38"/>
        <v/>
      </c>
      <c r="P82" s="76" t="str">
        <f t="shared" si="38"/>
        <v/>
      </c>
      <c r="Q82" s="76" t="str">
        <f t="shared" si="38"/>
        <v/>
      </c>
      <c r="R82" s="76" t="str">
        <f t="shared" si="38"/>
        <v/>
      </c>
      <c r="S82" s="76" t="str">
        <f t="shared" si="38"/>
        <v/>
      </c>
      <c r="T82" s="76" t="str">
        <f t="shared" si="38"/>
        <v/>
      </c>
      <c r="U82" s="76" t="str">
        <f t="shared" si="38"/>
        <v/>
      </c>
      <c r="V82" s="76" t="str">
        <f t="shared" si="38"/>
        <v/>
      </c>
      <c r="W82" s="74" t="str">
        <f t="shared" si="38"/>
        <v/>
      </c>
    </row>
    <row r="83" spans="1:23" ht="15.75" thickBot="1" x14ac:dyDescent="0.3">
      <c r="A83" s="23" t="str">
        <f t="shared" si="14"/>
        <v/>
      </c>
      <c r="B83" s="69">
        <v>22</v>
      </c>
      <c r="C83" s="70"/>
      <c r="E83" s="4">
        <f t="shared" si="31"/>
        <v>0</v>
      </c>
      <c r="F83" s="104" t="str">
        <f t="shared" ref="F83:W83" si="39">IF(LEN(F60)&lt;1,"",EXP(-(F$23*$D60^-0.47/10^$C60*F$37/F$33)))</f>
        <v/>
      </c>
      <c r="G83" s="105" t="str">
        <f t="shared" si="39"/>
        <v/>
      </c>
      <c r="H83" s="105" t="str">
        <f t="shared" si="39"/>
        <v/>
      </c>
      <c r="I83" s="105" t="str">
        <f t="shared" si="39"/>
        <v/>
      </c>
      <c r="J83" s="105" t="str">
        <f t="shared" si="39"/>
        <v/>
      </c>
      <c r="K83" s="105" t="str">
        <f t="shared" si="39"/>
        <v/>
      </c>
      <c r="L83" s="105" t="str">
        <f t="shared" si="39"/>
        <v/>
      </c>
      <c r="M83" s="105" t="str">
        <f t="shared" si="39"/>
        <v/>
      </c>
      <c r="N83" s="105" t="str">
        <f t="shared" si="39"/>
        <v/>
      </c>
      <c r="O83" s="105" t="str">
        <f t="shared" si="39"/>
        <v/>
      </c>
      <c r="P83" s="105" t="str">
        <f t="shared" si="39"/>
        <v/>
      </c>
      <c r="Q83" s="105" t="str">
        <f t="shared" si="39"/>
        <v/>
      </c>
      <c r="R83" s="105" t="str">
        <f t="shared" si="39"/>
        <v/>
      </c>
      <c r="S83" s="105" t="str">
        <f t="shared" si="39"/>
        <v/>
      </c>
      <c r="T83" s="105" t="str">
        <f t="shared" si="39"/>
        <v/>
      </c>
      <c r="U83" s="105" t="str">
        <f t="shared" si="39"/>
        <v/>
      </c>
      <c r="V83" s="105" t="str">
        <f t="shared" si="39"/>
        <v/>
      </c>
      <c r="W83" s="106" t="str">
        <f t="shared" si="39"/>
        <v/>
      </c>
    </row>
    <row r="84" spans="1:23" x14ac:dyDescent="0.25">
      <c r="A84" s="68" t="s">
        <v>33</v>
      </c>
      <c r="E84" s="4">
        <v>1E-3</v>
      </c>
      <c r="F84" s="77" t="s">
        <v>101</v>
      </c>
      <c r="G84" s="77" t="s">
        <v>101</v>
      </c>
      <c r="H84" s="77" t="s">
        <v>101</v>
      </c>
      <c r="I84" s="77" t="s">
        <v>101</v>
      </c>
      <c r="J84" s="77" t="s">
        <v>101</v>
      </c>
      <c r="K84" s="77" t="s">
        <v>101</v>
      </c>
      <c r="L84" s="77" t="s">
        <v>101</v>
      </c>
      <c r="M84" s="77" t="s">
        <v>101</v>
      </c>
      <c r="N84" s="77" t="s">
        <v>101</v>
      </c>
      <c r="O84" s="77" t="s">
        <v>101</v>
      </c>
      <c r="P84" s="77" t="s">
        <v>101</v>
      </c>
      <c r="Q84" s="77" t="s">
        <v>101</v>
      </c>
      <c r="R84" s="77" t="s">
        <v>101</v>
      </c>
      <c r="S84" s="77" t="s">
        <v>101</v>
      </c>
      <c r="T84" s="77" t="s">
        <v>101</v>
      </c>
      <c r="U84" s="77" t="s">
        <v>101</v>
      </c>
      <c r="V84" s="77" t="s">
        <v>101</v>
      </c>
      <c r="W84" s="77" t="s">
        <v>101</v>
      </c>
    </row>
    <row r="85" spans="1:23" x14ac:dyDescent="0.25">
      <c r="A85" s="68" t="e">
        <f t="shared" ref="A85:A98" si="40">A39-A62</f>
        <v>#N/A</v>
      </c>
      <c r="B85" s="69">
        <v>1</v>
      </c>
      <c r="C85" s="70"/>
      <c r="F85" s="78" t="str">
        <f t="shared" ref="F85:W85" si="41">IF(LEN(F39)&lt;1,"",(EXP(-((F$23-$E$84)*$D39^-0.47/10^$C39*F$37/F$33))-EXP(-((F$23+$E$84)*$D39^-0.47/10^$C39*F$37/F$33)))/(2*$E$84))</f>
        <v/>
      </c>
      <c r="G85" s="78" t="str">
        <f t="shared" si="41"/>
        <v/>
      </c>
      <c r="H85" s="78">
        <f t="shared" si="41"/>
        <v>3.8646319521152194E-6</v>
      </c>
      <c r="I85" s="78">
        <f t="shared" si="41"/>
        <v>1.5169296210752332E-16</v>
      </c>
      <c r="J85" s="78">
        <f t="shared" si="41"/>
        <v>2.7751788203798607E-13</v>
      </c>
      <c r="K85" s="78">
        <f t="shared" si="41"/>
        <v>1.1116402940574085E-10</v>
      </c>
      <c r="L85" s="78">
        <f t="shared" si="41"/>
        <v>1.4058979993915194E-7</v>
      </c>
      <c r="M85" s="78">
        <f t="shared" si="41"/>
        <v>4.0334909889300485E-7</v>
      </c>
      <c r="N85" s="78" t="str">
        <f t="shared" si="41"/>
        <v/>
      </c>
      <c r="O85" s="78" t="str">
        <f t="shared" si="41"/>
        <v/>
      </c>
      <c r="P85" s="78" t="str">
        <f t="shared" si="41"/>
        <v/>
      </c>
      <c r="Q85" s="78" t="str">
        <f t="shared" si="41"/>
        <v/>
      </c>
      <c r="R85" s="78" t="str">
        <f t="shared" si="41"/>
        <v/>
      </c>
      <c r="S85" s="78" t="str">
        <f t="shared" si="41"/>
        <v/>
      </c>
      <c r="T85" s="78" t="str">
        <f t="shared" si="41"/>
        <v/>
      </c>
      <c r="U85" s="78" t="str">
        <f t="shared" si="41"/>
        <v/>
      </c>
      <c r="V85" s="78" t="str">
        <f t="shared" si="41"/>
        <v/>
      </c>
      <c r="W85" s="78" t="str">
        <f t="shared" si="41"/>
        <v/>
      </c>
    </row>
    <row r="86" spans="1:23" x14ac:dyDescent="0.25">
      <c r="A86" s="68">
        <f t="shared" si="40"/>
        <v>5.3299333708082255E-3</v>
      </c>
      <c r="B86" s="69">
        <v>2</v>
      </c>
      <c r="C86" s="70"/>
      <c r="F86" s="78">
        <f t="shared" ref="F86:W86" si="42">IF(LEN(F40)&lt;1,"",(EXP(-((F$23-$E$84)*$D40^-0.47/10^$C40*F$37/F$33))-EXP(-((F$23+$E$84)*$D40^-0.47/10^$C40*F$37/F$33)))/(2*$E$84))</f>
        <v>1.2179916210536875E-6</v>
      </c>
      <c r="G86" s="78">
        <f t="shared" si="42"/>
        <v>4.2605948771638757E-4</v>
      </c>
      <c r="H86" s="78">
        <f t="shared" si="42"/>
        <v>8.6613118419759383E-4</v>
      </c>
      <c r="I86" s="78">
        <f t="shared" si="42"/>
        <v>3.0508941547689912E-6</v>
      </c>
      <c r="J86" s="78">
        <f t="shared" si="42"/>
        <v>3.0798177844929171E-5</v>
      </c>
      <c r="K86" s="78">
        <f t="shared" si="42"/>
        <v>9.0886257715118435E-5</v>
      </c>
      <c r="L86" s="78">
        <f t="shared" si="42"/>
        <v>3.8262358146440301E-4</v>
      </c>
      <c r="M86" s="78">
        <f t="shared" si="42"/>
        <v>5.9709447454425746E-4</v>
      </c>
      <c r="N86" s="78" t="str">
        <f t="shared" si="42"/>
        <v/>
      </c>
      <c r="O86" s="78" t="str">
        <f t="shared" si="42"/>
        <v/>
      </c>
      <c r="P86" s="78" t="str">
        <f t="shared" si="42"/>
        <v/>
      </c>
      <c r="Q86" s="78" t="str">
        <f t="shared" si="42"/>
        <v/>
      </c>
      <c r="R86" s="78" t="str">
        <f t="shared" si="42"/>
        <v/>
      </c>
      <c r="S86" s="78" t="str">
        <f t="shared" si="42"/>
        <v/>
      </c>
      <c r="T86" s="78" t="str">
        <f t="shared" si="42"/>
        <v/>
      </c>
      <c r="U86" s="78" t="str">
        <f t="shared" si="42"/>
        <v/>
      </c>
      <c r="V86" s="78" t="str">
        <f t="shared" si="42"/>
        <v/>
      </c>
      <c r="W86" s="78" t="str">
        <f t="shared" si="42"/>
        <v/>
      </c>
    </row>
    <row r="87" spans="1:23" x14ac:dyDescent="0.25">
      <c r="A87" s="68">
        <f t="shared" si="40"/>
        <v>2.1903706517039309E-2</v>
      </c>
      <c r="B87" s="69">
        <v>3</v>
      </c>
      <c r="C87" s="70"/>
      <c r="F87" s="78">
        <f t="shared" ref="F87:W87" si="43">IF(LEN(F41)&lt;1,"",(EXP(-((F$23-$E$84)*$D41^-0.47/10^$C41*F$37/F$33))-EXP(-((F$23+$E$84)*$D41^-0.47/10^$C41*F$37/F$33)))/(2*$E$84))</f>
        <v>3.0674270745938322E-5</v>
      </c>
      <c r="G87" s="78">
        <f t="shared" si="43"/>
        <v>1.1783555293534698E-3</v>
      </c>
      <c r="H87" s="78">
        <f t="shared" si="43"/>
        <v>1.2028308369743668E-3</v>
      </c>
      <c r="I87" s="78">
        <f t="shared" si="43"/>
        <v>3.2940977936265353E-5</v>
      </c>
      <c r="J87" s="78">
        <f t="shared" si="43"/>
        <v>1.8574876232448079E-4</v>
      </c>
      <c r="K87" s="78">
        <f t="shared" si="43"/>
        <v>3.1626348066110532E-4</v>
      </c>
      <c r="L87" s="78">
        <f t="shared" si="43"/>
        <v>7.0280151415191838E-4</v>
      </c>
      <c r="M87" s="78">
        <f t="shared" si="43"/>
        <v>1.0244398643416419E-3</v>
      </c>
      <c r="N87" s="78" t="str">
        <f t="shared" si="43"/>
        <v/>
      </c>
      <c r="O87" s="78" t="str">
        <f t="shared" si="43"/>
        <v/>
      </c>
      <c r="P87" s="78" t="str">
        <f t="shared" si="43"/>
        <v/>
      </c>
      <c r="Q87" s="78" t="str">
        <f t="shared" si="43"/>
        <v/>
      </c>
      <c r="R87" s="78" t="str">
        <f t="shared" si="43"/>
        <v/>
      </c>
      <c r="S87" s="78" t="str">
        <f t="shared" si="43"/>
        <v/>
      </c>
      <c r="T87" s="78" t="str">
        <f t="shared" si="43"/>
        <v/>
      </c>
      <c r="U87" s="78" t="str">
        <f t="shared" si="43"/>
        <v/>
      </c>
      <c r="V87" s="78" t="str">
        <f t="shared" si="43"/>
        <v/>
      </c>
      <c r="W87" s="78" t="str">
        <f t="shared" si="43"/>
        <v/>
      </c>
    </row>
    <row r="88" spans="1:23" x14ac:dyDescent="0.25">
      <c r="A88" s="68">
        <f t="shared" si="40"/>
        <v>1.7735659445269052E-2</v>
      </c>
      <c r="B88" s="69">
        <v>4</v>
      </c>
      <c r="C88" s="70"/>
      <c r="F88" s="78">
        <f t="shared" ref="F88:W88" si="44">IF(LEN(F42)&lt;1,"",(EXP(-((F$23-$E$84)*$D42^-0.47/10^$C42*F$37/F$33))-EXP(-((F$23+$E$84)*$D42^-0.47/10^$C42*F$37/F$33)))/(2*$E$84))</f>
        <v>1.524116500877231E-5</v>
      </c>
      <c r="G88" s="78">
        <f t="shared" si="44"/>
        <v>9.5676841380468169E-4</v>
      </c>
      <c r="H88" s="78">
        <f t="shared" si="44"/>
        <v>1.1382899988421347E-3</v>
      </c>
      <c r="I88" s="78">
        <f t="shared" si="44"/>
        <v>1.9758683172466443E-5</v>
      </c>
      <c r="J88" s="78">
        <f t="shared" si="44"/>
        <v>1.2681674360116857E-4</v>
      </c>
      <c r="K88" s="78">
        <f t="shared" si="44"/>
        <v>2.4400755741990632E-4</v>
      </c>
      <c r="L88" s="78">
        <f t="shared" si="44"/>
        <v>6.2500180314506437E-4</v>
      </c>
      <c r="M88" s="78">
        <f t="shared" si="44"/>
        <v>9.249535467825698E-4</v>
      </c>
      <c r="N88" s="78" t="str">
        <f t="shared" si="44"/>
        <v/>
      </c>
      <c r="O88" s="78" t="str">
        <f t="shared" si="44"/>
        <v/>
      </c>
      <c r="P88" s="78" t="str">
        <f t="shared" si="44"/>
        <v/>
      </c>
      <c r="Q88" s="78" t="str">
        <f t="shared" si="44"/>
        <v/>
      </c>
      <c r="R88" s="78" t="str">
        <f t="shared" si="44"/>
        <v/>
      </c>
      <c r="S88" s="78" t="str">
        <f t="shared" si="44"/>
        <v/>
      </c>
      <c r="T88" s="78" t="str">
        <f t="shared" si="44"/>
        <v/>
      </c>
      <c r="U88" s="78" t="str">
        <f t="shared" si="44"/>
        <v/>
      </c>
      <c r="V88" s="78" t="str">
        <f t="shared" si="44"/>
        <v/>
      </c>
      <c r="W88" s="78" t="str">
        <f t="shared" si="44"/>
        <v/>
      </c>
    </row>
    <row r="89" spans="1:23" x14ac:dyDescent="0.25">
      <c r="A89" s="68">
        <f t="shared" si="40"/>
        <v>2.1241753008438335E-2</v>
      </c>
      <c r="B89" s="69">
        <v>5</v>
      </c>
      <c r="C89" s="70"/>
      <c r="F89" s="78">
        <f t="shared" ref="F89:W89" si="45">IF(LEN(F43)&lt;1,"",(EXP(-((F$23-$E$84)*$D43^-0.47/10^$C43*F$37/F$33))-EXP(-((F$23+$E$84)*$D43^-0.47/10^$C43*F$37/F$33)))/(2*$E$84))</f>
        <v>2.3594768012915462E-4</v>
      </c>
      <c r="G89" s="78">
        <f t="shared" si="45"/>
        <v>1.9928484903397603E-3</v>
      </c>
      <c r="H89" s="78">
        <f t="shared" si="45"/>
        <v>1.2683532172874656E-3</v>
      </c>
      <c r="I89" s="78">
        <f t="shared" si="45"/>
        <v>1.4175875315616815E-4</v>
      </c>
      <c r="J89" s="78">
        <f t="shared" si="45"/>
        <v>5.3618015466438962E-4</v>
      </c>
      <c r="K89" s="78">
        <f t="shared" si="45"/>
        <v>6.2610272844043635E-4</v>
      </c>
      <c r="L89" s="78">
        <f t="shared" si="45"/>
        <v>8.9772694983336621E-4</v>
      </c>
      <c r="M89" s="78">
        <f t="shared" si="45"/>
        <v>1.2487865503063578E-3</v>
      </c>
      <c r="N89" s="78" t="str">
        <f t="shared" si="45"/>
        <v/>
      </c>
      <c r="O89" s="78" t="str">
        <f t="shared" si="45"/>
        <v/>
      </c>
      <c r="P89" s="78" t="str">
        <f t="shared" si="45"/>
        <v/>
      </c>
      <c r="Q89" s="78" t="str">
        <f t="shared" si="45"/>
        <v/>
      </c>
      <c r="R89" s="78" t="str">
        <f t="shared" si="45"/>
        <v/>
      </c>
      <c r="S89" s="78" t="str">
        <f t="shared" si="45"/>
        <v/>
      </c>
      <c r="T89" s="78" t="str">
        <f t="shared" si="45"/>
        <v/>
      </c>
      <c r="U89" s="78" t="str">
        <f t="shared" si="45"/>
        <v/>
      </c>
      <c r="V89" s="78" t="str">
        <f t="shared" si="45"/>
        <v/>
      </c>
      <c r="W89" s="78" t="str">
        <f t="shared" si="45"/>
        <v/>
      </c>
    </row>
    <row r="90" spans="1:23" x14ac:dyDescent="0.25">
      <c r="A90" s="68">
        <f t="shared" si="40"/>
        <v>0.10681212496840681</v>
      </c>
      <c r="B90" s="69">
        <v>6</v>
      </c>
      <c r="C90" s="70"/>
      <c r="F90" s="78">
        <f t="shared" ref="F90:W90" si="46">IF(LEN(F44)&lt;1,"",(EXP(-((F$23-$E$84)*$D44^-0.47/10^$C44*F$37/F$33))-EXP(-((F$23+$E$84)*$D44^-0.47/10^$C44*F$37/F$33)))/(2*$E$84))</f>
        <v>1.3114313535955713E-3</v>
      </c>
      <c r="G90" s="78">
        <f t="shared" si="46"/>
        <v>1.8817633218870533E-3</v>
      </c>
      <c r="H90" s="78">
        <f t="shared" si="46"/>
        <v>6.8903372785200645E-4</v>
      </c>
      <c r="I90" s="78">
        <f t="shared" si="46"/>
        <v>3.9931047460251001E-4</v>
      </c>
      <c r="J90" s="78">
        <f t="shared" si="46"/>
        <v>9.4649285722891996E-4</v>
      </c>
      <c r="K90" s="78">
        <f t="shared" si="46"/>
        <v>7.108525982846281E-4</v>
      </c>
      <c r="L90" s="78">
        <f t="shared" si="46"/>
        <v>6.1037660742391253E-4</v>
      </c>
      <c r="M90" s="78">
        <f t="shared" si="46"/>
        <v>8.0384871092853416E-4</v>
      </c>
      <c r="N90" s="78" t="str">
        <f t="shared" si="46"/>
        <v/>
      </c>
      <c r="O90" s="78" t="str">
        <f t="shared" si="46"/>
        <v/>
      </c>
      <c r="P90" s="78" t="str">
        <f t="shared" si="46"/>
        <v/>
      </c>
      <c r="Q90" s="78" t="str">
        <f t="shared" si="46"/>
        <v/>
      </c>
      <c r="R90" s="78" t="str">
        <f t="shared" si="46"/>
        <v/>
      </c>
      <c r="S90" s="78" t="str">
        <f t="shared" si="46"/>
        <v/>
      </c>
      <c r="T90" s="78" t="str">
        <f t="shared" si="46"/>
        <v/>
      </c>
      <c r="U90" s="78" t="str">
        <f t="shared" si="46"/>
        <v/>
      </c>
      <c r="V90" s="78" t="str">
        <f t="shared" si="46"/>
        <v/>
      </c>
      <c r="W90" s="78" t="str">
        <f t="shared" si="46"/>
        <v/>
      </c>
    </row>
    <row r="91" spans="1:23" x14ac:dyDescent="0.25">
      <c r="A91" s="68">
        <f t="shared" si="40"/>
        <v>4.7615679115714238E-2</v>
      </c>
      <c r="B91" s="69">
        <v>7</v>
      </c>
      <c r="C91" s="70"/>
      <c r="F91" s="78">
        <f t="shared" ref="F91:W91" si="47">IF(LEN(F45)&lt;1,"",(EXP(-((F$23-$E$84)*$D45^-0.47/10^$C45*F$37/F$33))-EXP(-((F$23+$E$84)*$D45^-0.47/10^$C45*F$37/F$33)))/(2*$E$84))</f>
        <v>1.333543805964732E-3</v>
      </c>
      <c r="G91" s="78">
        <f t="shared" si="47"/>
        <v>1.5776177740844943E-3</v>
      </c>
      <c r="H91" s="78">
        <f t="shared" si="47"/>
        <v>5.4391960391253491E-4</v>
      </c>
      <c r="I91" s="78">
        <f t="shared" si="47"/>
        <v>3.7707918834617438E-4</v>
      </c>
      <c r="J91" s="78">
        <f t="shared" si="47"/>
        <v>8.4945478895370741E-4</v>
      </c>
      <c r="K91" s="78">
        <f t="shared" si="47"/>
        <v>6.0803973161993596E-4</v>
      </c>
      <c r="L91" s="78">
        <f t="shared" si="47"/>
        <v>4.9374583677153083E-4</v>
      </c>
      <c r="M91" s="78">
        <f t="shared" si="47"/>
        <v>6.4638598146204984E-4</v>
      </c>
      <c r="N91" s="78" t="str">
        <f t="shared" si="47"/>
        <v/>
      </c>
      <c r="O91" s="78" t="str">
        <f t="shared" si="47"/>
        <v/>
      </c>
      <c r="P91" s="78" t="str">
        <f t="shared" si="47"/>
        <v/>
      </c>
      <c r="Q91" s="78" t="str">
        <f t="shared" si="47"/>
        <v/>
      </c>
      <c r="R91" s="78" t="str">
        <f t="shared" si="47"/>
        <v/>
      </c>
      <c r="S91" s="78" t="str">
        <f t="shared" si="47"/>
        <v/>
      </c>
      <c r="T91" s="78" t="str">
        <f t="shared" si="47"/>
        <v/>
      </c>
      <c r="U91" s="78" t="str">
        <f t="shared" si="47"/>
        <v/>
      </c>
      <c r="V91" s="78" t="str">
        <f t="shared" si="47"/>
        <v/>
      </c>
      <c r="W91" s="78" t="str">
        <f t="shared" si="47"/>
        <v/>
      </c>
    </row>
    <row r="92" spans="1:23" x14ac:dyDescent="0.25">
      <c r="A92" s="68">
        <f t="shared" si="40"/>
        <v>-6.1763433650010247E-2</v>
      </c>
      <c r="B92" s="69">
        <v>8</v>
      </c>
      <c r="C92" s="70"/>
      <c r="F92" s="78">
        <f t="shared" ref="F92:W92" si="48">IF(LEN(F46)&lt;1,"",(EXP(-((F$23-$E$84)*$D46^-0.47/10^$C46*F$37/F$33))-EXP(-((F$23+$E$84)*$D46^-0.47/10^$C46*F$37/F$33)))/(2*$E$84))</f>
        <v>7.5522404696659606E-4</v>
      </c>
      <c r="G92" s="78">
        <f t="shared" si="48"/>
        <v>6.1072838802855856E-4</v>
      </c>
      <c r="H92" s="78">
        <f t="shared" si="48"/>
        <v>1.8700491655199158E-4</v>
      </c>
      <c r="I92" s="78">
        <f t="shared" si="48"/>
        <v>1.8456619771400895E-4</v>
      </c>
      <c r="J92" s="78">
        <f t="shared" si="48"/>
        <v>3.7609885733536075E-4</v>
      </c>
      <c r="K92" s="78">
        <f t="shared" si="48"/>
        <v>2.4488212568840595E-4</v>
      </c>
      <c r="L92" s="78">
        <f t="shared" si="48"/>
        <v>1.7813001856881172E-4</v>
      </c>
      <c r="M92" s="78">
        <f t="shared" si="48"/>
        <v>2.3047542951903921E-4</v>
      </c>
      <c r="N92" s="78" t="str">
        <f t="shared" si="48"/>
        <v/>
      </c>
      <c r="O92" s="78" t="str">
        <f t="shared" si="48"/>
        <v/>
      </c>
      <c r="P92" s="78" t="str">
        <f t="shared" si="48"/>
        <v/>
      </c>
      <c r="Q92" s="78" t="str">
        <f t="shared" si="48"/>
        <v/>
      </c>
      <c r="R92" s="78" t="str">
        <f t="shared" si="48"/>
        <v/>
      </c>
      <c r="S92" s="78" t="str">
        <f t="shared" si="48"/>
        <v/>
      </c>
      <c r="T92" s="78" t="str">
        <f t="shared" si="48"/>
        <v/>
      </c>
      <c r="U92" s="78" t="str">
        <f t="shared" si="48"/>
        <v/>
      </c>
      <c r="V92" s="78" t="str">
        <f t="shared" si="48"/>
        <v/>
      </c>
      <c r="W92" s="78" t="str">
        <f t="shared" si="48"/>
        <v/>
      </c>
    </row>
    <row r="93" spans="1:23" x14ac:dyDescent="0.25">
      <c r="A93" s="68">
        <f t="shared" si="40"/>
        <v>-1.6697360145660367E-2</v>
      </c>
      <c r="B93" s="69">
        <v>9</v>
      </c>
      <c r="C93" s="70"/>
      <c r="F93" s="78">
        <f t="shared" ref="F93:W93" si="49">IF(LEN(F47)&lt;1,"",(EXP(-((F$23-$E$84)*$D47^-0.47/10^$C47*F$37/F$33))-EXP(-((F$23+$E$84)*$D47^-0.47/10^$C47*F$37/F$33)))/(2*$E$84))</f>
        <v>1.2125287575659449E-3</v>
      </c>
      <c r="G93" s="78">
        <f t="shared" si="49"/>
        <v>1.2068535808484881E-3</v>
      </c>
      <c r="H93" s="78" t="str">
        <f t="shared" si="49"/>
        <v/>
      </c>
      <c r="I93" s="78" t="str">
        <f t="shared" si="49"/>
        <v/>
      </c>
      <c r="J93" s="78">
        <f t="shared" si="49"/>
        <v>6.9067813668333145E-4</v>
      </c>
      <c r="K93" s="78">
        <f t="shared" si="49"/>
        <v>4.7357211696574808E-4</v>
      </c>
      <c r="L93" s="78">
        <f t="shared" si="49"/>
        <v>3.6580883411296838E-4</v>
      </c>
      <c r="M93" s="78">
        <f t="shared" si="49"/>
        <v>4.7635001543255839E-4</v>
      </c>
      <c r="N93" s="78" t="str">
        <f t="shared" si="49"/>
        <v/>
      </c>
      <c r="O93" s="78" t="str">
        <f t="shared" si="49"/>
        <v/>
      </c>
      <c r="P93" s="78" t="str">
        <f t="shared" si="49"/>
        <v/>
      </c>
      <c r="Q93" s="78" t="str">
        <f t="shared" si="49"/>
        <v/>
      </c>
      <c r="R93" s="78" t="str">
        <f t="shared" si="49"/>
        <v/>
      </c>
      <c r="S93" s="78" t="str">
        <f t="shared" si="49"/>
        <v/>
      </c>
      <c r="T93" s="78" t="str">
        <f t="shared" si="49"/>
        <v/>
      </c>
      <c r="U93" s="78" t="str">
        <f t="shared" si="49"/>
        <v/>
      </c>
      <c r="V93" s="78" t="str">
        <f t="shared" si="49"/>
        <v/>
      </c>
      <c r="W93" s="78" t="str">
        <f t="shared" si="49"/>
        <v/>
      </c>
    </row>
    <row r="94" spans="1:23" x14ac:dyDescent="0.25">
      <c r="A94" s="68">
        <f t="shared" si="40"/>
        <v>-4.3616357031125097E-2</v>
      </c>
      <c r="B94" s="69">
        <v>10</v>
      </c>
      <c r="C94" s="70"/>
      <c r="F94" s="78">
        <f t="shared" ref="F94:W94" si="50">IF(LEN(F48)&lt;1,"",(EXP(-((F$23-$E$84)*$D48^-0.47/10^$C48*F$37/F$33))-EXP(-((F$23+$E$84)*$D48^-0.47/10^$C48*F$37/F$33)))/(2*$E$84))</f>
        <v>3.104305184020717E-4</v>
      </c>
      <c r="G94" s="78">
        <f t="shared" si="50"/>
        <v>2.2541360833461255E-4</v>
      </c>
      <c r="H94" s="78">
        <f t="shared" si="50"/>
        <v>6.674258618000195E-5</v>
      </c>
      <c r="I94" s="78">
        <f t="shared" si="50"/>
        <v>7.2797006700486833E-5</v>
      </c>
      <c r="J94" s="78">
        <f t="shared" si="50"/>
        <v>1.4419056448833345E-4</v>
      </c>
      <c r="K94" s="78">
        <f t="shared" si="50"/>
        <v>9.1400922219708747E-5</v>
      </c>
      <c r="L94" s="78">
        <f t="shared" si="50"/>
        <v>6.4447488679064691E-5</v>
      </c>
      <c r="M94" s="78">
        <f t="shared" si="50"/>
        <v>8.3109369330980343E-5</v>
      </c>
      <c r="N94" s="78" t="str">
        <f t="shared" si="50"/>
        <v/>
      </c>
      <c r="O94" s="78" t="str">
        <f t="shared" si="50"/>
        <v/>
      </c>
      <c r="P94" s="78" t="str">
        <f t="shared" si="50"/>
        <v/>
      </c>
      <c r="Q94" s="78" t="str">
        <f t="shared" si="50"/>
        <v/>
      </c>
      <c r="R94" s="78" t="str">
        <f t="shared" si="50"/>
        <v/>
      </c>
      <c r="S94" s="78" t="str">
        <f t="shared" si="50"/>
        <v/>
      </c>
      <c r="T94" s="78" t="str">
        <f t="shared" si="50"/>
        <v/>
      </c>
      <c r="U94" s="78" t="str">
        <f t="shared" si="50"/>
        <v/>
      </c>
      <c r="V94" s="78" t="str">
        <f t="shared" si="50"/>
        <v/>
      </c>
      <c r="W94" s="78" t="str">
        <f t="shared" si="50"/>
        <v/>
      </c>
    </row>
    <row r="95" spans="1:23" x14ac:dyDescent="0.25">
      <c r="A95" s="68">
        <f t="shared" si="40"/>
        <v>-0.16523035339467751</v>
      </c>
      <c r="B95" s="69">
        <v>11</v>
      </c>
      <c r="C95" s="70"/>
      <c r="F95" s="78">
        <f t="shared" ref="F95:W95" si="51">IF(LEN(F49)&lt;1,"",(EXP(-((F$23-$E$84)*$D49^-0.47/10^$C49*F$37/F$33))-EXP(-((F$23+$E$84)*$D49^-0.47/10^$C49*F$37/F$33)))/(2*$E$84))</f>
        <v>4.5050187574835476E-4</v>
      </c>
      <c r="G95" s="78">
        <f t="shared" si="51"/>
        <v>3.3694127704597676E-4</v>
      </c>
      <c r="H95" s="78">
        <f t="shared" si="51"/>
        <v>1.0068902389637202E-4</v>
      </c>
      <c r="I95" s="78">
        <f t="shared" si="51"/>
        <v>1.0684876566857682E-4</v>
      </c>
      <c r="J95" s="78">
        <f t="shared" si="51"/>
        <v>2.1329386451496291E-4</v>
      </c>
      <c r="K95" s="78">
        <f t="shared" si="51"/>
        <v>1.3620386807300378E-4</v>
      </c>
      <c r="L95" s="78">
        <f t="shared" si="51"/>
        <v>9.6863342902153704E-5</v>
      </c>
      <c r="M95" s="78">
        <f t="shared" si="51"/>
        <v>1.2502587803941978E-4</v>
      </c>
      <c r="N95" s="78" t="str">
        <f t="shared" si="51"/>
        <v/>
      </c>
      <c r="O95" s="78" t="str">
        <f t="shared" si="51"/>
        <v/>
      </c>
      <c r="P95" s="78" t="str">
        <f t="shared" si="51"/>
        <v/>
      </c>
      <c r="Q95" s="78" t="str">
        <f t="shared" si="51"/>
        <v/>
      </c>
      <c r="R95" s="78" t="str">
        <f t="shared" si="51"/>
        <v/>
      </c>
      <c r="S95" s="78" t="str">
        <f t="shared" si="51"/>
        <v/>
      </c>
      <c r="T95" s="78" t="str">
        <f t="shared" si="51"/>
        <v/>
      </c>
      <c r="U95" s="78" t="str">
        <f t="shared" si="51"/>
        <v/>
      </c>
      <c r="V95" s="78" t="str">
        <f t="shared" si="51"/>
        <v/>
      </c>
      <c r="W95" s="78" t="str">
        <f t="shared" si="51"/>
        <v/>
      </c>
    </row>
    <row r="96" spans="1:23" x14ac:dyDescent="0.25">
      <c r="A96" s="68">
        <f t="shared" si="40"/>
        <v>-0.11081076386370503</v>
      </c>
      <c r="B96" s="69">
        <v>12</v>
      </c>
      <c r="C96" s="70"/>
      <c r="F96" s="78">
        <f t="shared" ref="F96:W96" si="52">IF(LEN(F50)&lt;1,"",(EXP(-((F$23-$E$84)*$D50^-0.47/10^$C50*F$37/F$33))-EXP(-((F$23+$E$84)*$D50^-0.47/10^$C50*F$37/F$33)))/(2*$E$84))</f>
        <v>3.8691226567078019E-4</v>
      </c>
      <c r="G96" s="78">
        <f t="shared" si="52"/>
        <v>2.8541254604164124E-4</v>
      </c>
      <c r="H96" s="78">
        <f t="shared" si="52"/>
        <v>8.4924043963763296E-5</v>
      </c>
      <c r="I96" s="78">
        <f t="shared" si="52"/>
        <v>9.1282186587271497E-5</v>
      </c>
      <c r="J96" s="78">
        <f t="shared" si="52"/>
        <v>1.8155736608571615E-4</v>
      </c>
      <c r="K96" s="78">
        <f t="shared" si="52"/>
        <v>1.155398557384224E-4</v>
      </c>
      <c r="L96" s="78">
        <f t="shared" si="52"/>
        <v>8.184028843505331E-5</v>
      </c>
      <c r="M96" s="78">
        <f t="shared" si="52"/>
        <v>1.0558992030729186E-4</v>
      </c>
      <c r="N96" s="78" t="str">
        <f t="shared" si="52"/>
        <v/>
      </c>
      <c r="O96" s="78" t="str">
        <f t="shared" si="52"/>
        <v/>
      </c>
      <c r="P96" s="78" t="str">
        <f t="shared" si="52"/>
        <v/>
      </c>
      <c r="Q96" s="78" t="str">
        <f t="shared" si="52"/>
        <v/>
      </c>
      <c r="R96" s="78" t="str">
        <f t="shared" si="52"/>
        <v/>
      </c>
      <c r="S96" s="78" t="str">
        <f t="shared" si="52"/>
        <v/>
      </c>
      <c r="T96" s="78" t="str">
        <f t="shared" si="52"/>
        <v/>
      </c>
      <c r="U96" s="78" t="str">
        <f t="shared" si="52"/>
        <v/>
      </c>
      <c r="V96" s="78" t="str">
        <f t="shared" si="52"/>
        <v/>
      </c>
      <c r="W96" s="78" t="str">
        <f t="shared" si="52"/>
        <v/>
      </c>
    </row>
    <row r="97" spans="1:23" x14ac:dyDescent="0.25">
      <c r="A97" s="68">
        <f t="shared" si="40"/>
        <v>-0.11143052408102561</v>
      </c>
      <c r="B97" s="69">
        <v>13</v>
      </c>
      <c r="C97" s="70"/>
      <c r="E97" s="79"/>
      <c r="F97" s="78">
        <f t="shared" ref="F97:W97" si="53">IF(LEN(F51)&lt;1,"",(EXP(-((F$23-$E$84)*$D51^-0.47/10^$C51*F$37/F$33))-EXP(-((F$23+$E$84)*$D51^-0.47/10^$C51*F$37/F$33)))/(2*$E$84))</f>
        <v>1.0613709772178126E-4</v>
      </c>
      <c r="G97" s="78">
        <f t="shared" si="53"/>
        <v>7.417268116372E-5</v>
      </c>
      <c r="H97" s="78">
        <f t="shared" si="53"/>
        <v>2.1700896357668142E-5</v>
      </c>
      <c r="I97" s="78">
        <f t="shared" si="53"/>
        <v>2.4526561781534895E-5</v>
      </c>
      <c r="J97" s="78">
        <f t="shared" si="53"/>
        <v>4.8092065718652321E-5</v>
      </c>
      <c r="K97" s="78">
        <f t="shared" si="53"/>
        <v>3.0195654199260957E-5</v>
      </c>
      <c r="L97" s="78">
        <f t="shared" si="53"/>
        <v>2.1056537236052719E-5</v>
      </c>
      <c r="M97" s="78">
        <f t="shared" si="53"/>
        <v>2.712172081364983E-5</v>
      </c>
      <c r="N97" s="78" t="str">
        <f t="shared" si="53"/>
        <v/>
      </c>
      <c r="O97" s="78" t="str">
        <f t="shared" si="53"/>
        <v/>
      </c>
      <c r="P97" s="78" t="str">
        <f t="shared" si="53"/>
        <v/>
      </c>
      <c r="Q97" s="78" t="str">
        <f t="shared" si="53"/>
        <v/>
      </c>
      <c r="R97" s="78" t="str">
        <f t="shared" si="53"/>
        <v/>
      </c>
      <c r="S97" s="78" t="str">
        <f t="shared" si="53"/>
        <v/>
      </c>
      <c r="T97" s="78" t="str">
        <f t="shared" si="53"/>
        <v/>
      </c>
      <c r="U97" s="78" t="str">
        <f t="shared" si="53"/>
        <v/>
      </c>
      <c r="V97" s="78" t="str">
        <f t="shared" si="53"/>
        <v/>
      </c>
      <c r="W97" s="78" t="str">
        <f t="shared" si="53"/>
        <v/>
      </c>
    </row>
    <row r="98" spans="1:23" x14ac:dyDescent="0.25">
      <c r="A98" s="68">
        <f t="shared" si="40"/>
        <v>3.0098836743391866E-3</v>
      </c>
      <c r="B98" s="69">
        <v>14</v>
      </c>
      <c r="C98" s="70"/>
      <c r="E98" s="79"/>
      <c r="F98" s="78">
        <f t="shared" ref="F98:W98" si="54">IF(LEN(F52)&lt;1,"",(EXP(-((F$23-$E$84)*$D52^-0.47/10^$C52*F$37/F$33))-EXP(-((F$23+$E$84)*$D52^-0.47/10^$C52*F$37/F$33)))/(2*$E$84))</f>
        <v>1.0949054107811662E-5</v>
      </c>
      <c r="G98" s="78">
        <f t="shared" si="54"/>
        <v>7.5280391920173884E-6</v>
      </c>
      <c r="H98" s="78">
        <f t="shared" si="54"/>
        <v>2.1913420522601257E-6</v>
      </c>
      <c r="I98" s="78">
        <f t="shared" si="54"/>
        <v>2.5144021309486675E-6</v>
      </c>
      <c r="J98" s="78">
        <f t="shared" si="54"/>
        <v>4.9091604115147902E-6</v>
      </c>
      <c r="K98" s="78">
        <f t="shared" si="54"/>
        <v>3.0698530939510249E-6</v>
      </c>
      <c r="L98" s="78">
        <f t="shared" si="54"/>
        <v>2.1306623132488767E-6</v>
      </c>
      <c r="M98" s="78">
        <f t="shared" si="54"/>
        <v>2.7430049343024621E-6</v>
      </c>
      <c r="N98" s="78" t="str">
        <f t="shared" si="54"/>
        <v/>
      </c>
      <c r="O98" s="78" t="str">
        <f t="shared" si="54"/>
        <v/>
      </c>
      <c r="P98" s="78" t="str">
        <f t="shared" si="54"/>
        <v/>
      </c>
      <c r="Q98" s="78" t="str">
        <f t="shared" si="54"/>
        <v/>
      </c>
      <c r="R98" s="78" t="str">
        <f t="shared" si="54"/>
        <v/>
      </c>
      <c r="S98" s="78" t="str">
        <f t="shared" si="54"/>
        <v/>
      </c>
      <c r="T98" s="78" t="str">
        <f t="shared" si="54"/>
        <v/>
      </c>
      <c r="U98" s="78" t="str">
        <f t="shared" si="54"/>
        <v/>
      </c>
      <c r="V98" s="78" t="str">
        <f t="shared" si="54"/>
        <v/>
      </c>
      <c r="W98" s="78" t="str">
        <f t="shared" si="54"/>
        <v/>
      </c>
    </row>
    <row r="99" spans="1:23" x14ac:dyDescent="0.25">
      <c r="A99" s="68" t="e">
        <f t="shared" ref="A99:A106" si="55">A53-A76</f>
        <v>#N/A</v>
      </c>
      <c r="B99" s="69">
        <v>15</v>
      </c>
      <c r="C99" s="70"/>
      <c r="E99" s="79"/>
      <c r="F99" s="78" t="str">
        <f t="shared" ref="F99:W99" si="56">IF(LEN(F53)&lt;1,"",(EXP(-((F$23-$E$84)*$D53^-0.47/10^$C53*F$37/F$33))-EXP(-((F$23+$E$84)*$D53^-0.47/10^$C53*F$37/F$33)))/(2*$E$84))</f>
        <v/>
      </c>
      <c r="G99" s="78" t="str">
        <f t="shared" si="56"/>
        <v/>
      </c>
      <c r="H99" s="78" t="str">
        <f t="shared" si="56"/>
        <v/>
      </c>
      <c r="I99" s="78" t="str">
        <f t="shared" si="56"/>
        <v/>
      </c>
      <c r="J99" s="78" t="str">
        <f t="shared" si="56"/>
        <v/>
      </c>
      <c r="K99" s="78" t="str">
        <f t="shared" si="56"/>
        <v/>
      </c>
      <c r="L99" s="78" t="str">
        <f t="shared" si="56"/>
        <v/>
      </c>
      <c r="M99" s="78" t="str">
        <f t="shared" si="56"/>
        <v/>
      </c>
      <c r="N99" s="78" t="str">
        <f t="shared" si="56"/>
        <v/>
      </c>
      <c r="O99" s="78" t="str">
        <f t="shared" si="56"/>
        <v/>
      </c>
      <c r="P99" s="78" t="str">
        <f t="shared" si="56"/>
        <v/>
      </c>
      <c r="Q99" s="78" t="str">
        <f t="shared" si="56"/>
        <v/>
      </c>
      <c r="R99" s="78" t="str">
        <f t="shared" si="56"/>
        <v/>
      </c>
      <c r="S99" s="78" t="str">
        <f t="shared" si="56"/>
        <v/>
      </c>
      <c r="T99" s="78" t="str">
        <f t="shared" si="56"/>
        <v/>
      </c>
      <c r="U99" s="78" t="str">
        <f t="shared" si="56"/>
        <v/>
      </c>
      <c r="V99" s="78" t="str">
        <f t="shared" si="56"/>
        <v/>
      </c>
      <c r="W99" s="78" t="str">
        <f t="shared" si="56"/>
        <v/>
      </c>
    </row>
    <row r="100" spans="1:23" x14ac:dyDescent="0.25">
      <c r="A100" s="68" t="e">
        <f t="shared" si="55"/>
        <v>#N/A</v>
      </c>
      <c r="B100" s="69">
        <v>16</v>
      </c>
      <c r="C100" s="70"/>
      <c r="E100" s="79"/>
      <c r="F100" s="78" t="str">
        <f t="shared" ref="F100:W100" si="57">IF(LEN(F54)&lt;1,"",(EXP(-((F$23-$E$84)*$D54^-0.47/10^$C54*F$37/F$33))-EXP(-((F$23+$E$84)*$D54^-0.47/10^$C54*F$37/F$33)))/(2*$E$84))</f>
        <v/>
      </c>
      <c r="G100" s="78" t="str">
        <f t="shared" si="57"/>
        <v/>
      </c>
      <c r="H100" s="78" t="str">
        <f t="shared" si="57"/>
        <v/>
      </c>
      <c r="I100" s="78" t="str">
        <f t="shared" si="57"/>
        <v/>
      </c>
      <c r="J100" s="78" t="str">
        <f t="shared" si="57"/>
        <v/>
      </c>
      <c r="K100" s="78" t="str">
        <f t="shared" si="57"/>
        <v/>
      </c>
      <c r="L100" s="78" t="str">
        <f t="shared" si="57"/>
        <v/>
      </c>
      <c r="M100" s="78" t="str">
        <f t="shared" si="57"/>
        <v/>
      </c>
      <c r="N100" s="78" t="str">
        <f t="shared" si="57"/>
        <v/>
      </c>
      <c r="O100" s="78" t="str">
        <f t="shared" si="57"/>
        <v/>
      </c>
      <c r="P100" s="78" t="str">
        <f t="shared" si="57"/>
        <v/>
      </c>
      <c r="Q100" s="78" t="str">
        <f t="shared" si="57"/>
        <v/>
      </c>
      <c r="R100" s="78" t="str">
        <f t="shared" si="57"/>
        <v/>
      </c>
      <c r="S100" s="78" t="str">
        <f t="shared" si="57"/>
        <v/>
      </c>
      <c r="T100" s="78" t="str">
        <f t="shared" si="57"/>
        <v/>
      </c>
      <c r="U100" s="78" t="str">
        <f t="shared" si="57"/>
        <v/>
      </c>
      <c r="V100" s="78" t="str">
        <f t="shared" si="57"/>
        <v/>
      </c>
      <c r="W100" s="78" t="str">
        <f t="shared" si="57"/>
        <v/>
      </c>
    </row>
    <row r="101" spans="1:23" x14ac:dyDescent="0.25">
      <c r="A101" s="68" t="e">
        <f t="shared" si="55"/>
        <v>#N/A</v>
      </c>
      <c r="B101" s="69">
        <v>17</v>
      </c>
      <c r="C101" s="70"/>
      <c r="E101" s="79"/>
      <c r="F101" s="78" t="str">
        <f t="shared" ref="F101:W101" si="58">IF(LEN(F55)&lt;1,"",(EXP(-((F$23-$E$84)*$D55^-0.47/10^$C55*F$37/F$33))-EXP(-((F$23+$E$84)*$D55^-0.47/10^$C55*F$37/F$33)))/(2*$E$84))</f>
        <v/>
      </c>
      <c r="G101" s="78" t="str">
        <f t="shared" si="58"/>
        <v/>
      </c>
      <c r="H101" s="78" t="str">
        <f t="shared" si="58"/>
        <v/>
      </c>
      <c r="I101" s="78" t="str">
        <f t="shared" si="58"/>
        <v/>
      </c>
      <c r="J101" s="78" t="str">
        <f t="shared" si="58"/>
        <v/>
      </c>
      <c r="K101" s="78" t="str">
        <f t="shared" si="58"/>
        <v/>
      </c>
      <c r="L101" s="78" t="str">
        <f t="shared" si="58"/>
        <v/>
      </c>
      <c r="M101" s="78" t="str">
        <f t="shared" si="58"/>
        <v/>
      </c>
      <c r="N101" s="78" t="str">
        <f t="shared" si="58"/>
        <v/>
      </c>
      <c r="O101" s="78" t="str">
        <f t="shared" si="58"/>
        <v/>
      </c>
      <c r="P101" s="78" t="str">
        <f t="shared" si="58"/>
        <v/>
      </c>
      <c r="Q101" s="78" t="str">
        <f t="shared" si="58"/>
        <v/>
      </c>
      <c r="R101" s="78" t="str">
        <f t="shared" si="58"/>
        <v/>
      </c>
      <c r="S101" s="78" t="str">
        <f t="shared" si="58"/>
        <v/>
      </c>
      <c r="T101" s="78" t="str">
        <f t="shared" si="58"/>
        <v/>
      </c>
      <c r="U101" s="78" t="str">
        <f t="shared" si="58"/>
        <v/>
      </c>
      <c r="V101" s="78" t="str">
        <f t="shared" si="58"/>
        <v/>
      </c>
      <c r="W101" s="78" t="str">
        <f t="shared" si="58"/>
        <v/>
      </c>
    </row>
    <row r="102" spans="1:23" x14ac:dyDescent="0.25">
      <c r="A102" s="68" t="e">
        <f t="shared" si="55"/>
        <v>#N/A</v>
      </c>
      <c r="B102" s="69">
        <v>18</v>
      </c>
      <c r="C102" s="70"/>
      <c r="E102" s="79"/>
      <c r="F102" s="78" t="str">
        <f t="shared" ref="F102:W102" si="59">IF(LEN(F56)&lt;1,"",(EXP(-((F$23-$E$84)*$D56^-0.47/10^$C56*F$37/F$33))-EXP(-((F$23+$E$84)*$D56^-0.47/10^$C56*F$37/F$33)))/(2*$E$84))</f>
        <v/>
      </c>
      <c r="G102" s="78" t="str">
        <f t="shared" si="59"/>
        <v/>
      </c>
      <c r="H102" s="78" t="str">
        <f t="shared" si="59"/>
        <v/>
      </c>
      <c r="I102" s="78" t="str">
        <f t="shared" si="59"/>
        <v/>
      </c>
      <c r="J102" s="78" t="str">
        <f t="shared" si="59"/>
        <v/>
      </c>
      <c r="K102" s="78" t="str">
        <f t="shared" si="59"/>
        <v/>
      </c>
      <c r="L102" s="78" t="str">
        <f t="shared" si="59"/>
        <v/>
      </c>
      <c r="M102" s="78" t="str">
        <f t="shared" si="59"/>
        <v/>
      </c>
      <c r="N102" s="78" t="str">
        <f t="shared" si="59"/>
        <v/>
      </c>
      <c r="O102" s="78" t="str">
        <f t="shared" si="59"/>
        <v/>
      </c>
      <c r="P102" s="78" t="str">
        <f t="shared" si="59"/>
        <v/>
      </c>
      <c r="Q102" s="78" t="str">
        <f t="shared" si="59"/>
        <v/>
      </c>
      <c r="R102" s="78" t="str">
        <f t="shared" si="59"/>
        <v/>
      </c>
      <c r="S102" s="78" t="str">
        <f t="shared" si="59"/>
        <v/>
      </c>
      <c r="T102" s="78" t="str">
        <f t="shared" si="59"/>
        <v/>
      </c>
      <c r="U102" s="78" t="str">
        <f t="shared" si="59"/>
        <v/>
      </c>
      <c r="V102" s="78" t="str">
        <f t="shared" si="59"/>
        <v/>
      </c>
      <c r="W102" s="78" t="str">
        <f t="shared" si="59"/>
        <v/>
      </c>
    </row>
    <row r="103" spans="1:23" x14ac:dyDescent="0.25">
      <c r="A103" s="68" t="e">
        <f t="shared" si="55"/>
        <v>#N/A</v>
      </c>
      <c r="B103" s="69">
        <v>19</v>
      </c>
      <c r="C103" s="70"/>
      <c r="E103" s="79"/>
      <c r="F103" s="78" t="str">
        <f t="shared" ref="F103:W103" si="60">IF(LEN(F57)&lt;1,"",(EXP(-((F$23-$E$84)*$D57^-0.47/10^$C57*F$37/F$33))-EXP(-((F$23+$E$84)*$D57^-0.47/10^$C57*F$37/F$33)))/(2*$E$84))</f>
        <v/>
      </c>
      <c r="G103" s="78" t="str">
        <f t="shared" si="60"/>
        <v/>
      </c>
      <c r="H103" s="78" t="str">
        <f t="shared" si="60"/>
        <v/>
      </c>
      <c r="I103" s="78" t="str">
        <f t="shared" si="60"/>
        <v/>
      </c>
      <c r="J103" s="78" t="str">
        <f t="shared" si="60"/>
        <v/>
      </c>
      <c r="K103" s="78" t="str">
        <f t="shared" si="60"/>
        <v/>
      </c>
      <c r="L103" s="78" t="str">
        <f t="shared" si="60"/>
        <v/>
      </c>
      <c r="M103" s="78" t="str">
        <f t="shared" si="60"/>
        <v/>
      </c>
      <c r="N103" s="78" t="str">
        <f t="shared" si="60"/>
        <v/>
      </c>
      <c r="O103" s="78" t="str">
        <f t="shared" si="60"/>
        <v/>
      </c>
      <c r="P103" s="78" t="str">
        <f t="shared" si="60"/>
        <v/>
      </c>
      <c r="Q103" s="78" t="str">
        <f t="shared" si="60"/>
        <v/>
      </c>
      <c r="R103" s="78" t="str">
        <f t="shared" si="60"/>
        <v/>
      </c>
      <c r="S103" s="78" t="str">
        <f t="shared" si="60"/>
        <v/>
      </c>
      <c r="T103" s="78" t="str">
        <f t="shared" si="60"/>
        <v/>
      </c>
      <c r="U103" s="78" t="str">
        <f t="shared" si="60"/>
        <v/>
      </c>
      <c r="V103" s="78" t="str">
        <f t="shared" si="60"/>
        <v/>
      </c>
      <c r="W103" s="78" t="str">
        <f t="shared" si="60"/>
        <v/>
      </c>
    </row>
    <row r="104" spans="1:23" x14ac:dyDescent="0.25">
      <c r="A104" s="68" t="e">
        <f t="shared" si="55"/>
        <v>#N/A</v>
      </c>
      <c r="B104" s="69">
        <v>20</v>
      </c>
      <c r="C104" s="70"/>
      <c r="E104" s="79"/>
      <c r="F104" s="78" t="str">
        <f t="shared" ref="F104:W104" si="61">IF(LEN(F58)&lt;1,"",(EXP(-((F$23-$E$84)*$D58^-0.47/10^$C58*F$37/F$33))-EXP(-((F$23+$E$84)*$D58^-0.47/10^$C58*F$37/F$33)))/(2*$E$84))</f>
        <v/>
      </c>
      <c r="G104" s="78" t="str">
        <f t="shared" si="61"/>
        <v/>
      </c>
      <c r="H104" s="78" t="str">
        <f t="shared" si="61"/>
        <v/>
      </c>
      <c r="I104" s="78" t="str">
        <f t="shared" si="61"/>
        <v/>
      </c>
      <c r="J104" s="78" t="str">
        <f t="shared" si="61"/>
        <v/>
      </c>
      <c r="K104" s="78" t="str">
        <f t="shared" si="61"/>
        <v/>
      </c>
      <c r="L104" s="78" t="str">
        <f t="shared" si="61"/>
        <v/>
      </c>
      <c r="M104" s="78" t="str">
        <f t="shared" si="61"/>
        <v/>
      </c>
      <c r="N104" s="78" t="str">
        <f t="shared" si="61"/>
        <v/>
      </c>
      <c r="O104" s="78" t="str">
        <f t="shared" si="61"/>
        <v/>
      </c>
      <c r="P104" s="78" t="str">
        <f t="shared" si="61"/>
        <v/>
      </c>
      <c r="Q104" s="78" t="str">
        <f t="shared" si="61"/>
        <v/>
      </c>
      <c r="R104" s="78" t="str">
        <f t="shared" si="61"/>
        <v/>
      </c>
      <c r="S104" s="78" t="str">
        <f t="shared" si="61"/>
        <v/>
      </c>
      <c r="T104" s="78" t="str">
        <f t="shared" si="61"/>
        <v/>
      </c>
      <c r="U104" s="78" t="str">
        <f t="shared" si="61"/>
        <v/>
      </c>
      <c r="V104" s="78" t="str">
        <f t="shared" si="61"/>
        <v/>
      </c>
      <c r="W104" s="78" t="str">
        <f t="shared" si="61"/>
        <v/>
      </c>
    </row>
    <row r="105" spans="1:23" x14ac:dyDescent="0.25">
      <c r="A105" s="68" t="e">
        <f t="shared" si="55"/>
        <v>#N/A</v>
      </c>
      <c r="B105" s="69">
        <v>21</v>
      </c>
      <c r="C105" s="70"/>
      <c r="E105" s="79"/>
      <c r="F105" s="78" t="str">
        <f t="shared" ref="F105:W105" si="62">IF(LEN(F59)&lt;1,"",(EXP(-((F$23-$E$84)*$D59^-0.47/10^$C59*F$37/F$33))-EXP(-((F$23+$E$84)*$D59^-0.47/10^$C59*F$37/F$33)))/(2*$E$84))</f>
        <v/>
      </c>
      <c r="G105" s="78" t="str">
        <f t="shared" si="62"/>
        <v/>
      </c>
      <c r="H105" s="78" t="str">
        <f t="shared" si="62"/>
        <v/>
      </c>
      <c r="I105" s="78" t="str">
        <f t="shared" si="62"/>
        <v/>
      </c>
      <c r="J105" s="78" t="str">
        <f t="shared" si="62"/>
        <v/>
      </c>
      <c r="K105" s="78" t="str">
        <f t="shared" si="62"/>
        <v/>
      </c>
      <c r="L105" s="78" t="str">
        <f t="shared" si="62"/>
        <v/>
      </c>
      <c r="M105" s="78" t="str">
        <f t="shared" si="62"/>
        <v/>
      </c>
      <c r="N105" s="78" t="str">
        <f t="shared" si="62"/>
        <v/>
      </c>
      <c r="O105" s="78" t="str">
        <f t="shared" si="62"/>
        <v/>
      </c>
      <c r="P105" s="78" t="str">
        <f t="shared" si="62"/>
        <v/>
      </c>
      <c r="Q105" s="78" t="str">
        <f t="shared" si="62"/>
        <v/>
      </c>
      <c r="R105" s="78" t="str">
        <f t="shared" si="62"/>
        <v/>
      </c>
      <c r="S105" s="78" t="str">
        <f t="shared" si="62"/>
        <v/>
      </c>
      <c r="T105" s="78" t="str">
        <f t="shared" si="62"/>
        <v/>
      </c>
      <c r="U105" s="78" t="str">
        <f t="shared" si="62"/>
        <v/>
      </c>
      <c r="V105" s="78" t="str">
        <f t="shared" si="62"/>
        <v/>
      </c>
      <c r="W105" s="78" t="str">
        <f t="shared" si="62"/>
        <v/>
      </c>
    </row>
    <row r="106" spans="1:23" x14ac:dyDescent="0.25">
      <c r="A106" s="68" t="e">
        <f t="shared" si="55"/>
        <v>#N/A</v>
      </c>
      <c r="B106" s="69">
        <v>22</v>
      </c>
      <c r="C106" s="70"/>
      <c r="E106" s="79"/>
      <c r="F106" s="78" t="str">
        <f t="shared" ref="F106:W106" si="63">IF(LEN(F60)&lt;1,"",(EXP(-((F$23-$E$84)*$D60^-0.47/10^$C60*F$37/F$33))-EXP(-((F$23+$E$84)*$D60^-0.47/10^$C60*F$37/F$33)))/(2*$E$84))</f>
        <v/>
      </c>
      <c r="G106" s="78" t="str">
        <f t="shared" si="63"/>
        <v/>
      </c>
      <c r="H106" s="78" t="str">
        <f t="shared" si="63"/>
        <v/>
      </c>
      <c r="I106" s="78" t="str">
        <f t="shared" si="63"/>
        <v/>
      </c>
      <c r="J106" s="78" t="str">
        <f t="shared" si="63"/>
        <v/>
      </c>
      <c r="K106" s="78" t="str">
        <f t="shared" si="63"/>
        <v/>
      </c>
      <c r="L106" s="78" t="str">
        <f t="shared" si="63"/>
        <v/>
      </c>
      <c r="M106" s="78" t="str">
        <f t="shared" si="63"/>
        <v/>
      </c>
      <c r="N106" s="78" t="str">
        <f t="shared" si="63"/>
        <v/>
      </c>
      <c r="O106" s="78" t="str">
        <f t="shared" si="63"/>
        <v/>
      </c>
      <c r="P106" s="78" t="str">
        <f t="shared" si="63"/>
        <v/>
      </c>
      <c r="Q106" s="78" t="str">
        <f t="shared" si="63"/>
        <v/>
      </c>
      <c r="R106" s="78" t="str">
        <f t="shared" si="63"/>
        <v/>
      </c>
      <c r="S106" s="78" t="str">
        <f t="shared" si="63"/>
        <v/>
      </c>
      <c r="T106" s="78" t="str">
        <f t="shared" si="63"/>
        <v/>
      </c>
      <c r="U106" s="78" t="str">
        <f t="shared" si="63"/>
        <v/>
      </c>
      <c r="V106" s="78" t="str">
        <f t="shared" si="63"/>
        <v/>
      </c>
      <c r="W106" s="78" t="str">
        <f t="shared" si="63"/>
        <v/>
      </c>
    </row>
    <row r="107" spans="1:23" x14ac:dyDescent="0.25">
      <c r="A107" s="43"/>
      <c r="F107" s="80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</row>
    <row r="108" spans="1:23" x14ac:dyDescent="0.25">
      <c r="A108" s="68" t="str">
        <f t="shared" ref="A108:A146" ca="1" si="64">IF(ISERROR(1/INDIRECT(("r"&amp;ROW()&amp;"c"&amp;MATCH($J$21,$A$35:$W$35,)),FALSE)),"",INDIRECT(("r"&amp;ROW()&amp;"c"&amp;MATCH($J$21,$A$35:$W$35,)),FALSE))</f>
        <v/>
      </c>
      <c r="D108" s="4" t="s">
        <v>34</v>
      </c>
      <c r="E108" s="4" t="s">
        <v>18</v>
      </c>
      <c r="F108" s="4" t="s">
        <v>35</v>
      </c>
      <c r="G108" s="4" t="s">
        <v>35</v>
      </c>
      <c r="H108" s="4" t="s">
        <v>35</v>
      </c>
      <c r="I108" s="4" t="s">
        <v>35</v>
      </c>
      <c r="J108" s="4" t="s">
        <v>35</v>
      </c>
      <c r="K108" s="4" t="s">
        <v>35</v>
      </c>
      <c r="L108" s="4" t="s">
        <v>35</v>
      </c>
      <c r="M108" s="4" t="s">
        <v>35</v>
      </c>
      <c r="N108" s="4" t="s">
        <v>35</v>
      </c>
      <c r="O108" s="4" t="s">
        <v>35</v>
      </c>
      <c r="P108" s="4" t="s">
        <v>35</v>
      </c>
      <c r="Q108" s="4" t="s">
        <v>35</v>
      </c>
      <c r="R108" s="4" t="s">
        <v>35</v>
      </c>
      <c r="S108" s="4" t="s">
        <v>35</v>
      </c>
      <c r="T108" s="4" t="s">
        <v>35</v>
      </c>
      <c r="U108" s="4" t="s">
        <v>35</v>
      </c>
      <c r="V108" s="4" t="s">
        <v>35</v>
      </c>
      <c r="W108" s="4" t="s">
        <v>35</v>
      </c>
    </row>
    <row r="109" spans="1:23" x14ac:dyDescent="0.25">
      <c r="A109" s="68">
        <f t="shared" ca="1" si="64"/>
        <v>6.3617129586929728E-96</v>
      </c>
      <c r="B109" s="82"/>
      <c r="C109" s="12">
        <f t="shared" ref="C109:C146" si="65">LOG(10^$D109/($E109^-0.47))</f>
        <v>3.9630540887192822</v>
      </c>
      <c r="D109" s="82">
        <v>3</v>
      </c>
      <c r="E109" s="12">
        <f t="shared" ref="E109:E146" si="66">63.755*D109- 79.308</f>
        <v>111.95700000000001</v>
      </c>
      <c r="F109" s="83">
        <f t="shared" ref="F109:O127" si="67">IF(ISERROR(1/SUM(F$33:F$37)),"",EXP(-(F$23*$E109^-0.47/10^$D109*F$37/F$33)))</f>
        <v>6.3617129586929728E-96</v>
      </c>
      <c r="G109" s="83">
        <f t="shared" si="67"/>
        <v>1.5826678207171636E-38</v>
      </c>
      <c r="H109" s="83">
        <f t="shared" si="67"/>
        <v>1.2574089430507579E-20</v>
      </c>
      <c r="I109" s="83">
        <f t="shared" si="67"/>
        <v>6.4576923039841781E-74</v>
      </c>
      <c r="J109" s="83">
        <f t="shared" si="67"/>
        <v>8.7387579162277456E-59</v>
      </c>
      <c r="K109" s="83">
        <f t="shared" si="67"/>
        <v>1.7049756025835076E-44</v>
      </c>
      <c r="L109" s="83">
        <f t="shared" si="67"/>
        <v>6.819990475481794E-28</v>
      </c>
      <c r="M109" s="83">
        <f t="shared" si="67"/>
        <v>4.0344536238996612E-26</v>
      </c>
      <c r="N109" s="83" t="str">
        <f t="shared" si="67"/>
        <v/>
      </c>
      <c r="O109" s="83" t="str">
        <f t="shared" si="67"/>
        <v/>
      </c>
      <c r="P109" s="83" t="str">
        <f t="shared" ref="P109:W131" si="68">IF(ISERROR(1/SUM(P$33:P$37)),"",EXP(-(P$23*$E109^-0.47/10^$D109*P$37/P$33)))</f>
        <v/>
      </c>
      <c r="Q109" s="83" t="str">
        <f t="shared" si="68"/>
        <v/>
      </c>
      <c r="R109" s="83" t="str">
        <f t="shared" si="68"/>
        <v/>
      </c>
      <c r="S109" s="83" t="str">
        <f t="shared" si="68"/>
        <v/>
      </c>
      <c r="T109" s="83" t="str">
        <f t="shared" si="68"/>
        <v/>
      </c>
      <c r="U109" s="83" t="str">
        <f t="shared" si="68"/>
        <v/>
      </c>
      <c r="V109" s="83" t="str">
        <f t="shared" si="68"/>
        <v/>
      </c>
      <c r="W109" s="83" t="str">
        <f t="shared" si="68"/>
        <v/>
      </c>
    </row>
    <row r="110" spans="1:23" x14ac:dyDescent="0.25">
      <c r="A110" s="68">
        <f t="shared" ca="1" si="64"/>
        <v>1.4223408031190695E-65</v>
      </c>
      <c r="B110" s="82"/>
      <c r="C110" s="12">
        <f t="shared" si="65"/>
        <v>4.1297848675288886</v>
      </c>
      <c r="D110" s="82">
        <f>D109+0.15</f>
        <v>3.15</v>
      </c>
      <c r="E110" s="12">
        <f t="shared" si="66"/>
        <v>121.52024999999999</v>
      </c>
      <c r="F110" s="83">
        <f t="shared" si="67"/>
        <v>1.4223408031190695E-65</v>
      </c>
      <c r="G110" s="83">
        <f t="shared" si="67"/>
        <v>1.7805146676773863E-26</v>
      </c>
      <c r="H110" s="83">
        <f t="shared" si="67"/>
        <v>2.7792815472563637E-14</v>
      </c>
      <c r="I110" s="83">
        <f t="shared" si="67"/>
        <v>1.3920238717447526E-50</v>
      </c>
      <c r="J110" s="83">
        <f t="shared" si="67"/>
        <v>2.8249381480213019E-40</v>
      </c>
      <c r="K110" s="83">
        <f t="shared" si="67"/>
        <v>1.5325631356588961E-30</v>
      </c>
      <c r="L110" s="83">
        <f t="shared" si="67"/>
        <v>3.1232329002808334E-19</v>
      </c>
      <c r="M110" s="83">
        <f t="shared" si="67"/>
        <v>5.0312554180568367E-18</v>
      </c>
      <c r="N110" s="83" t="str">
        <f t="shared" si="67"/>
        <v/>
      </c>
      <c r="O110" s="83" t="str">
        <f t="shared" si="67"/>
        <v/>
      </c>
      <c r="P110" s="83" t="str">
        <f t="shared" si="68"/>
        <v/>
      </c>
      <c r="Q110" s="83" t="str">
        <f t="shared" si="68"/>
        <v/>
      </c>
      <c r="R110" s="83" t="str">
        <f t="shared" si="68"/>
        <v/>
      </c>
      <c r="S110" s="83" t="str">
        <f t="shared" si="68"/>
        <v/>
      </c>
      <c r="T110" s="83" t="str">
        <f t="shared" si="68"/>
        <v/>
      </c>
      <c r="U110" s="83" t="str">
        <f t="shared" si="68"/>
        <v/>
      </c>
      <c r="V110" s="83" t="str">
        <f t="shared" si="68"/>
        <v/>
      </c>
      <c r="W110" s="83" t="str">
        <f t="shared" si="68"/>
        <v/>
      </c>
    </row>
    <row r="111" spans="1:23" x14ac:dyDescent="0.25">
      <c r="A111" s="68">
        <f t="shared" ca="1" si="64"/>
        <v>4.9843636479955205E-45</v>
      </c>
      <c r="B111" s="82"/>
      <c r="C111" s="12">
        <f t="shared" si="65"/>
        <v>4.2952475735179316</v>
      </c>
      <c r="D111" s="82">
        <f t="shared" ref="D111:D146" si="69">D110+0.15</f>
        <v>3.3</v>
      </c>
      <c r="E111" s="12">
        <f t="shared" si="66"/>
        <v>131.08350000000002</v>
      </c>
      <c r="F111" s="83">
        <f t="shared" si="67"/>
        <v>4.9843636479955205E-45</v>
      </c>
      <c r="G111" s="83">
        <f t="shared" si="67"/>
        <v>2.5609471879263396E-18</v>
      </c>
      <c r="H111" s="83">
        <f t="shared" si="67"/>
        <v>5.479235737570901E-10</v>
      </c>
      <c r="I111" s="83">
        <f t="shared" si="67"/>
        <v>8.6889623605552153E-35</v>
      </c>
      <c r="J111" s="83">
        <f t="shared" si="67"/>
        <v>9.5672368728192436E-28</v>
      </c>
      <c r="K111" s="83">
        <f t="shared" si="67"/>
        <v>4.2773352017068138E-21</v>
      </c>
      <c r="L111" s="83">
        <f t="shared" si="67"/>
        <v>2.2773051319894356E-13</v>
      </c>
      <c r="M111" s="83">
        <f t="shared" si="67"/>
        <v>1.5208022718573097E-12</v>
      </c>
      <c r="N111" s="83" t="str">
        <f t="shared" si="67"/>
        <v/>
      </c>
      <c r="O111" s="83" t="str">
        <f t="shared" si="67"/>
        <v/>
      </c>
      <c r="P111" s="83" t="str">
        <f t="shared" si="68"/>
        <v/>
      </c>
      <c r="Q111" s="83" t="str">
        <f t="shared" si="68"/>
        <v/>
      </c>
      <c r="R111" s="83" t="str">
        <f t="shared" si="68"/>
        <v/>
      </c>
      <c r="S111" s="83" t="str">
        <f t="shared" si="68"/>
        <v/>
      </c>
      <c r="T111" s="83" t="str">
        <f t="shared" si="68"/>
        <v/>
      </c>
      <c r="U111" s="83" t="str">
        <f t="shared" si="68"/>
        <v/>
      </c>
      <c r="V111" s="83" t="str">
        <f t="shared" si="68"/>
        <v/>
      </c>
      <c r="W111" s="83" t="str">
        <f t="shared" si="68"/>
        <v/>
      </c>
    </row>
    <row r="112" spans="1:23" x14ac:dyDescent="0.25">
      <c r="A112" s="68">
        <f t="shared" ca="1" si="64"/>
        <v>4.5428822430778504E-31</v>
      </c>
      <c r="B112" s="82"/>
      <c r="C112" s="12">
        <f t="shared" si="65"/>
        <v>4.4596209595364078</v>
      </c>
      <c r="D112" s="82">
        <f t="shared" si="69"/>
        <v>3.4499999999999997</v>
      </c>
      <c r="E112" s="12">
        <f t="shared" si="66"/>
        <v>140.64675</v>
      </c>
      <c r="F112" s="83">
        <f t="shared" si="67"/>
        <v>4.5428822430778504E-31</v>
      </c>
      <c r="G112" s="83">
        <f t="shared" si="67"/>
        <v>8.9439406079626331E-13</v>
      </c>
      <c r="H112" s="83">
        <f t="shared" si="67"/>
        <v>4.5389707473292743E-7</v>
      </c>
      <c r="I112" s="83">
        <f t="shared" si="67"/>
        <v>4.6949264048598751E-24</v>
      </c>
      <c r="J112" s="83">
        <f t="shared" si="67"/>
        <v>3.1229441881170011E-19</v>
      </c>
      <c r="K112" s="83">
        <f t="shared" si="67"/>
        <v>1.1204908707578494E-14</v>
      </c>
      <c r="L112" s="83">
        <f t="shared" si="67"/>
        <v>2.1933543844821478E-9</v>
      </c>
      <c r="M112" s="83">
        <f t="shared" si="67"/>
        <v>8.0521511823225615E-9</v>
      </c>
      <c r="N112" s="83" t="str">
        <f t="shared" si="67"/>
        <v/>
      </c>
      <c r="O112" s="83" t="str">
        <f t="shared" si="67"/>
        <v/>
      </c>
      <c r="P112" s="83" t="str">
        <f t="shared" si="68"/>
        <v/>
      </c>
      <c r="Q112" s="83" t="str">
        <f t="shared" si="68"/>
        <v/>
      </c>
      <c r="R112" s="83" t="str">
        <f t="shared" si="68"/>
        <v/>
      </c>
      <c r="S112" s="83" t="str">
        <f t="shared" si="68"/>
        <v/>
      </c>
      <c r="T112" s="83" t="str">
        <f t="shared" si="68"/>
        <v/>
      </c>
      <c r="U112" s="83" t="str">
        <f t="shared" si="68"/>
        <v/>
      </c>
      <c r="V112" s="83" t="str">
        <f t="shared" si="68"/>
        <v/>
      </c>
      <c r="W112" s="83" t="str">
        <f t="shared" si="68"/>
        <v/>
      </c>
    </row>
    <row r="113" spans="1:23" x14ac:dyDescent="0.25">
      <c r="A113" s="68">
        <f t="shared" ca="1" si="64"/>
        <v>1.4894338554507876E-21</v>
      </c>
      <c r="B113" s="82"/>
      <c r="C113" s="12">
        <f t="shared" si="65"/>
        <v>4.6230484576757283</v>
      </c>
      <c r="D113" s="82">
        <f t="shared" si="69"/>
        <v>3.5999999999999996</v>
      </c>
      <c r="E113" s="12">
        <f t="shared" si="66"/>
        <v>150.20999999999998</v>
      </c>
      <c r="F113" s="83">
        <f t="shared" si="67"/>
        <v>1.4894338554507876E-21</v>
      </c>
      <c r="G113" s="83">
        <f t="shared" si="67"/>
        <v>5.3705693709108866E-9</v>
      </c>
      <c r="H113" s="83">
        <f t="shared" si="67"/>
        <v>4.427753120492929E-5</v>
      </c>
      <c r="I113" s="83">
        <f t="shared" si="67"/>
        <v>9.718113818626475E-17</v>
      </c>
      <c r="J113" s="83">
        <f t="shared" si="67"/>
        <v>1.9861337008843362E-13</v>
      </c>
      <c r="K113" s="83">
        <f t="shared" si="67"/>
        <v>2.6571685931826014E-10</v>
      </c>
      <c r="L113" s="83">
        <f t="shared" si="67"/>
        <v>1.1392063698908345E-6</v>
      </c>
      <c r="M113" s="83">
        <f t="shared" si="67"/>
        <v>2.7814995941127871E-6</v>
      </c>
      <c r="N113" s="83" t="str">
        <f t="shared" si="67"/>
        <v/>
      </c>
      <c r="O113" s="83" t="str">
        <f t="shared" si="67"/>
        <v/>
      </c>
      <c r="P113" s="83" t="str">
        <f t="shared" si="68"/>
        <v/>
      </c>
      <c r="Q113" s="83" t="str">
        <f t="shared" si="68"/>
        <v/>
      </c>
      <c r="R113" s="83" t="str">
        <f t="shared" si="68"/>
        <v/>
      </c>
      <c r="S113" s="83" t="str">
        <f t="shared" si="68"/>
        <v/>
      </c>
      <c r="T113" s="83" t="str">
        <f t="shared" si="68"/>
        <v/>
      </c>
      <c r="U113" s="83" t="str">
        <f t="shared" si="68"/>
        <v/>
      </c>
      <c r="V113" s="83" t="str">
        <f t="shared" si="68"/>
        <v/>
      </c>
      <c r="W113" s="83" t="str">
        <f t="shared" si="68"/>
        <v/>
      </c>
    </row>
    <row r="114" spans="1:23" x14ac:dyDescent="0.25">
      <c r="A114" s="68">
        <f t="shared" ca="1" si="64"/>
        <v>4.7555807722584809E-15</v>
      </c>
      <c r="B114" s="82"/>
      <c r="C114" s="12">
        <f t="shared" si="65"/>
        <v>4.7856469126224264</v>
      </c>
      <c r="D114" s="82">
        <f t="shared" si="69"/>
        <v>3.7499999999999996</v>
      </c>
      <c r="E114" s="12">
        <f t="shared" si="66"/>
        <v>159.77324999999996</v>
      </c>
      <c r="F114" s="83">
        <f t="shared" si="67"/>
        <v>4.7555807722584809E-15</v>
      </c>
      <c r="G114" s="83">
        <f t="shared" si="67"/>
        <v>2.0544802541358905E-6</v>
      </c>
      <c r="H114" s="83">
        <f t="shared" si="67"/>
        <v>1.0135914635957203E-3</v>
      </c>
      <c r="I114" s="83">
        <f t="shared" si="67"/>
        <v>9.7318681079725743E-12</v>
      </c>
      <c r="J114" s="83">
        <f t="shared" si="67"/>
        <v>1.8398809881322945E-9</v>
      </c>
      <c r="K114" s="83">
        <f t="shared" si="67"/>
        <v>2.5991706911624688E-7</v>
      </c>
      <c r="L114" s="83">
        <f t="shared" si="67"/>
        <v>8.179029045274748E-5</v>
      </c>
      <c r="M114" s="83">
        <f t="shared" si="67"/>
        <v>1.5111531929334334E-4</v>
      </c>
      <c r="N114" s="83" t="str">
        <f t="shared" si="67"/>
        <v/>
      </c>
      <c r="O114" s="83" t="str">
        <f t="shared" si="67"/>
        <v/>
      </c>
      <c r="P114" s="83" t="str">
        <f t="shared" si="68"/>
        <v/>
      </c>
      <c r="Q114" s="83" t="str">
        <f t="shared" si="68"/>
        <v/>
      </c>
      <c r="R114" s="83" t="str">
        <f t="shared" si="68"/>
        <v/>
      </c>
      <c r="S114" s="83" t="str">
        <f t="shared" si="68"/>
        <v/>
      </c>
      <c r="T114" s="83" t="str">
        <f t="shared" si="68"/>
        <v/>
      </c>
      <c r="U114" s="83" t="str">
        <f t="shared" si="68"/>
        <v/>
      </c>
      <c r="V114" s="83" t="str">
        <f t="shared" si="68"/>
        <v/>
      </c>
      <c r="W114" s="83" t="str">
        <f t="shared" si="68"/>
        <v/>
      </c>
    </row>
    <row r="115" spans="1:23" x14ac:dyDescent="0.25">
      <c r="A115" s="68">
        <f t="shared" ca="1" si="64"/>
        <v>1.3599607006004105E-10</v>
      </c>
      <c r="B115" s="82"/>
      <c r="C115" s="12">
        <f t="shared" si="65"/>
        <v>4.9475127721944334</v>
      </c>
      <c r="D115" s="82">
        <f t="shared" si="69"/>
        <v>3.8999999999999995</v>
      </c>
      <c r="E115" s="12">
        <f t="shared" si="66"/>
        <v>169.33649999999994</v>
      </c>
      <c r="F115" s="83">
        <f t="shared" si="67"/>
        <v>1.3599607006004105E-10</v>
      </c>
      <c r="G115" s="83">
        <f t="shared" si="67"/>
        <v>1.208423759578737E-4</v>
      </c>
      <c r="H115" s="83">
        <f t="shared" si="67"/>
        <v>8.6585202729009703E-3</v>
      </c>
      <c r="I115" s="83">
        <f t="shared" si="67"/>
        <v>2.5962913191105487E-8</v>
      </c>
      <c r="J115" s="83">
        <f t="shared" si="67"/>
        <v>9.6076923903181317E-7</v>
      </c>
      <c r="K115" s="83">
        <f t="shared" si="67"/>
        <v>2.9087738524720675E-5</v>
      </c>
      <c r="L115" s="83">
        <f t="shared" si="67"/>
        <v>1.528984758441144E-3</v>
      </c>
      <c r="M115" s="83">
        <f t="shared" si="67"/>
        <v>2.3337762657320749E-3</v>
      </c>
      <c r="N115" s="83" t="str">
        <f t="shared" si="67"/>
        <v/>
      </c>
      <c r="O115" s="83" t="str">
        <f t="shared" si="67"/>
        <v/>
      </c>
      <c r="P115" s="83" t="str">
        <f t="shared" si="68"/>
        <v/>
      </c>
      <c r="Q115" s="83" t="str">
        <f t="shared" si="68"/>
        <v/>
      </c>
      <c r="R115" s="83" t="str">
        <f t="shared" si="68"/>
        <v/>
      </c>
      <c r="S115" s="83" t="str">
        <f t="shared" si="68"/>
        <v/>
      </c>
      <c r="T115" s="83" t="str">
        <f t="shared" si="68"/>
        <v/>
      </c>
      <c r="U115" s="83" t="str">
        <f t="shared" si="68"/>
        <v/>
      </c>
      <c r="V115" s="83" t="str">
        <f t="shared" si="68"/>
        <v/>
      </c>
      <c r="W115" s="83" t="str">
        <f t="shared" si="68"/>
        <v/>
      </c>
    </row>
    <row r="116" spans="1:23" x14ac:dyDescent="0.25">
      <c r="A116" s="68">
        <f t="shared" ca="1" si="64"/>
        <v>1.559979937802185E-7</v>
      </c>
      <c r="B116" s="82"/>
      <c r="C116" s="12">
        <f t="shared" si="65"/>
        <v>5.1087265748255408</v>
      </c>
      <c r="D116" s="82">
        <f t="shared" si="69"/>
        <v>4.05</v>
      </c>
      <c r="E116" s="12">
        <f t="shared" si="66"/>
        <v>178.89974999999998</v>
      </c>
      <c r="F116" s="83">
        <f t="shared" si="67"/>
        <v>1.559979937802185E-7</v>
      </c>
      <c r="G116" s="83">
        <f t="shared" si="67"/>
        <v>1.9820871144933219E-3</v>
      </c>
      <c r="H116" s="83">
        <f t="shared" si="67"/>
        <v>3.7760889999559774E-2</v>
      </c>
      <c r="I116" s="83">
        <f t="shared" si="67"/>
        <v>5.8433485674754694E-6</v>
      </c>
      <c r="J116" s="83">
        <f t="shared" si="67"/>
        <v>7.0568097474446733E-5</v>
      </c>
      <c r="K116" s="83">
        <f t="shared" si="67"/>
        <v>7.4201574708109388E-4</v>
      </c>
      <c r="L116" s="83">
        <f t="shared" si="67"/>
        <v>1.1416145703027927E-2</v>
      </c>
      <c r="M116" s="83">
        <f t="shared" si="67"/>
        <v>1.5283535704545496E-2</v>
      </c>
      <c r="N116" s="83" t="str">
        <f t="shared" si="67"/>
        <v/>
      </c>
      <c r="O116" s="83" t="str">
        <f t="shared" si="67"/>
        <v/>
      </c>
      <c r="P116" s="83" t="str">
        <f t="shared" si="68"/>
        <v/>
      </c>
      <c r="Q116" s="83" t="str">
        <f t="shared" si="68"/>
        <v/>
      </c>
      <c r="R116" s="83" t="str">
        <f t="shared" si="68"/>
        <v/>
      </c>
      <c r="S116" s="83" t="str">
        <f t="shared" si="68"/>
        <v/>
      </c>
      <c r="T116" s="83" t="str">
        <f t="shared" si="68"/>
        <v/>
      </c>
      <c r="U116" s="83" t="str">
        <f t="shared" si="68"/>
        <v/>
      </c>
      <c r="V116" s="83" t="str">
        <f t="shared" si="68"/>
        <v/>
      </c>
      <c r="W116" s="83" t="str">
        <f t="shared" si="68"/>
        <v/>
      </c>
    </row>
    <row r="117" spans="1:23" x14ac:dyDescent="0.25">
      <c r="A117" s="68">
        <f t="shared" ca="1" si="64"/>
        <v>1.9843210934161488E-5</v>
      </c>
      <c r="B117" s="82"/>
      <c r="C117" s="12">
        <f t="shared" si="65"/>
        <v>5.2693562670200498</v>
      </c>
      <c r="D117" s="82">
        <f t="shared" si="69"/>
        <v>4.2</v>
      </c>
      <c r="E117" s="12">
        <f t="shared" si="66"/>
        <v>188.46300000000002</v>
      </c>
      <c r="F117" s="83">
        <f t="shared" si="67"/>
        <v>1.9843210934161488E-5</v>
      </c>
      <c r="G117" s="83">
        <f t="shared" si="67"/>
        <v>1.3576101923772886E-2</v>
      </c>
      <c r="H117" s="83">
        <f t="shared" si="67"/>
        <v>0.10398724507223064</v>
      </c>
      <c r="I117" s="83">
        <f t="shared" si="67"/>
        <v>2.424712784966984E-4</v>
      </c>
      <c r="J117" s="83">
        <f t="shared" si="67"/>
        <v>1.3555013864344555E-3</v>
      </c>
      <c r="K117" s="83">
        <f t="shared" si="67"/>
        <v>6.8863942672297753E-3</v>
      </c>
      <c r="L117" s="83">
        <f t="shared" si="67"/>
        <v>4.5507074915854359E-2</v>
      </c>
      <c r="M117" s="83">
        <f t="shared" si="67"/>
        <v>5.5668548502223657E-2</v>
      </c>
      <c r="N117" s="83" t="str">
        <f t="shared" si="67"/>
        <v/>
      </c>
      <c r="O117" s="83" t="str">
        <f t="shared" si="67"/>
        <v/>
      </c>
      <c r="P117" s="83" t="str">
        <f t="shared" si="68"/>
        <v/>
      </c>
      <c r="Q117" s="83" t="str">
        <f t="shared" si="68"/>
        <v/>
      </c>
      <c r="R117" s="83" t="str">
        <f t="shared" si="68"/>
        <v/>
      </c>
      <c r="S117" s="83" t="str">
        <f t="shared" si="68"/>
        <v/>
      </c>
      <c r="T117" s="83" t="str">
        <f t="shared" si="68"/>
        <v/>
      </c>
      <c r="U117" s="83" t="str">
        <f t="shared" si="68"/>
        <v/>
      </c>
      <c r="V117" s="83" t="str">
        <f t="shared" si="68"/>
        <v/>
      </c>
      <c r="W117" s="83" t="str">
        <f t="shared" si="68"/>
        <v/>
      </c>
    </row>
    <row r="118" spans="1:23" x14ac:dyDescent="0.25">
      <c r="A118" s="68">
        <f t="shared" ca="1" si="64"/>
        <v>5.5913543196490752E-4</v>
      </c>
      <c r="B118" s="82"/>
      <c r="C118" s="12">
        <f t="shared" si="65"/>
        <v>5.4294596987816295</v>
      </c>
      <c r="D118" s="82">
        <f t="shared" si="69"/>
        <v>4.3500000000000005</v>
      </c>
      <c r="E118" s="12">
        <f t="shared" si="66"/>
        <v>198.02625000000006</v>
      </c>
      <c r="F118" s="83">
        <f t="shared" si="67"/>
        <v>5.5913543196490752E-4</v>
      </c>
      <c r="G118" s="83">
        <f t="shared" si="67"/>
        <v>5.1109731265131221E-2</v>
      </c>
      <c r="H118" s="83">
        <f t="shared" si="67"/>
        <v>0.20896729401602596</v>
      </c>
      <c r="I118" s="83">
        <f t="shared" si="67"/>
        <v>3.1578510675618439E-3</v>
      </c>
      <c r="J118" s="83">
        <f t="shared" si="67"/>
        <v>1.0384137099851538E-2</v>
      </c>
      <c r="K118" s="83">
        <f t="shared" si="67"/>
        <v>3.1960385605229562E-2</v>
      </c>
      <c r="L118" s="83">
        <f t="shared" si="67"/>
        <v>0.11798818342901524</v>
      </c>
      <c r="M118" s="83">
        <f t="shared" si="67"/>
        <v>0.1356377992955777</v>
      </c>
      <c r="N118" s="83" t="str">
        <f t="shared" si="67"/>
        <v/>
      </c>
      <c r="O118" s="83" t="str">
        <f t="shared" si="67"/>
        <v/>
      </c>
      <c r="P118" s="83" t="str">
        <f t="shared" si="68"/>
        <v/>
      </c>
      <c r="Q118" s="83" t="str">
        <f t="shared" si="68"/>
        <v/>
      </c>
      <c r="R118" s="83" t="str">
        <f t="shared" si="68"/>
        <v/>
      </c>
      <c r="S118" s="83" t="str">
        <f t="shared" si="68"/>
        <v/>
      </c>
      <c r="T118" s="83" t="str">
        <f t="shared" si="68"/>
        <v/>
      </c>
      <c r="U118" s="83" t="str">
        <f t="shared" si="68"/>
        <v/>
      </c>
      <c r="V118" s="83" t="str">
        <f t="shared" si="68"/>
        <v/>
      </c>
      <c r="W118" s="83" t="str">
        <f t="shared" si="68"/>
        <v/>
      </c>
    </row>
    <row r="119" spans="1:23" x14ac:dyDescent="0.25">
      <c r="A119" s="68">
        <f t="shared" ca="1" si="64"/>
        <v>5.5962517474584085E-3</v>
      </c>
      <c r="B119" s="82"/>
      <c r="C119" s="12">
        <f t="shared" si="65"/>
        <v>5.5890865299439856</v>
      </c>
      <c r="D119" s="82">
        <f t="shared" si="69"/>
        <v>4.5000000000000009</v>
      </c>
      <c r="E119" s="12">
        <f t="shared" si="66"/>
        <v>207.5895000000001</v>
      </c>
      <c r="F119" s="83">
        <f t="shared" si="67"/>
        <v>5.5962517474584085E-3</v>
      </c>
      <c r="G119" s="83">
        <f t="shared" si="67"/>
        <v>0.1275659359425097</v>
      </c>
      <c r="H119" s="83">
        <f t="shared" si="67"/>
        <v>0.33822426740386896</v>
      </c>
      <c r="I119" s="83">
        <f t="shared" si="67"/>
        <v>1.8557289712276992E-2</v>
      </c>
      <c r="J119" s="83">
        <f t="shared" si="67"/>
        <v>4.2313984852325549E-2</v>
      </c>
      <c r="K119" s="83">
        <f t="shared" si="67"/>
        <v>9.2162648816278503E-2</v>
      </c>
      <c r="L119" s="83">
        <f t="shared" si="67"/>
        <v>0.22767594532129162</v>
      </c>
      <c r="M119" s="83">
        <f t="shared" si="67"/>
        <v>0.25074838044490544</v>
      </c>
      <c r="N119" s="83" t="str">
        <f t="shared" si="67"/>
        <v/>
      </c>
      <c r="O119" s="83" t="str">
        <f t="shared" si="67"/>
        <v/>
      </c>
      <c r="P119" s="83" t="str">
        <f t="shared" si="68"/>
        <v/>
      </c>
      <c r="Q119" s="83" t="str">
        <f t="shared" si="68"/>
        <v/>
      </c>
      <c r="R119" s="83" t="str">
        <f t="shared" si="68"/>
        <v/>
      </c>
      <c r="S119" s="83" t="str">
        <f t="shared" si="68"/>
        <v/>
      </c>
      <c r="T119" s="83" t="str">
        <f t="shared" si="68"/>
        <v/>
      </c>
      <c r="U119" s="83" t="str">
        <f t="shared" si="68"/>
        <v/>
      </c>
      <c r="V119" s="83" t="str">
        <f t="shared" si="68"/>
        <v/>
      </c>
      <c r="W119" s="83" t="str">
        <f t="shared" si="68"/>
        <v/>
      </c>
    </row>
    <row r="120" spans="1:23" x14ac:dyDescent="0.25">
      <c r="A120" s="68">
        <f t="shared" ca="1" si="64"/>
        <v>2.7480733134460349E-2</v>
      </c>
      <c r="B120" s="82"/>
      <c r="C120" s="12">
        <f t="shared" si="65"/>
        <v>5.7482797067889662</v>
      </c>
      <c r="D120" s="82">
        <f t="shared" si="69"/>
        <v>4.6500000000000012</v>
      </c>
      <c r="E120" s="12">
        <f t="shared" si="66"/>
        <v>217.15275000000008</v>
      </c>
      <c r="F120" s="83">
        <f t="shared" si="67"/>
        <v>2.7480733134460349E-2</v>
      </c>
      <c r="G120" s="83">
        <f t="shared" si="67"/>
        <v>0.23997673660830932</v>
      </c>
      <c r="H120" s="83">
        <f t="shared" si="67"/>
        <v>0.47171926627332267</v>
      </c>
      <c r="I120" s="83">
        <f t="shared" si="67"/>
        <v>6.3077902785220366E-2</v>
      </c>
      <c r="J120" s="83">
        <f t="shared" si="67"/>
        <v>0.11168428356655553</v>
      </c>
      <c r="K120" s="83">
        <f t="shared" si="67"/>
        <v>0.19156447866982471</v>
      </c>
      <c r="L120" s="83">
        <f t="shared" si="67"/>
        <v>0.35854635409690805</v>
      </c>
      <c r="M120" s="83">
        <f t="shared" si="67"/>
        <v>0.38335530583104999</v>
      </c>
      <c r="N120" s="83" t="str">
        <f t="shared" si="67"/>
        <v/>
      </c>
      <c r="O120" s="83" t="str">
        <f t="shared" si="67"/>
        <v/>
      </c>
      <c r="P120" s="83" t="str">
        <f t="shared" si="68"/>
        <v/>
      </c>
      <c r="Q120" s="83" t="str">
        <f t="shared" si="68"/>
        <v/>
      </c>
      <c r="R120" s="83" t="str">
        <f t="shared" si="68"/>
        <v/>
      </c>
      <c r="S120" s="83" t="str">
        <f t="shared" si="68"/>
        <v/>
      </c>
      <c r="T120" s="83" t="str">
        <f t="shared" si="68"/>
        <v/>
      </c>
      <c r="U120" s="83" t="str">
        <f t="shared" si="68"/>
        <v/>
      </c>
      <c r="V120" s="83" t="str">
        <f t="shared" si="68"/>
        <v/>
      </c>
      <c r="W120" s="83" t="str">
        <f t="shared" si="68"/>
        <v/>
      </c>
    </row>
    <row r="121" spans="1:23" x14ac:dyDescent="0.25">
      <c r="A121" s="68">
        <f t="shared" ca="1" si="64"/>
        <v>8.261818838789492E-2</v>
      </c>
      <c r="B121" s="82"/>
      <c r="C121" s="12">
        <f t="shared" si="65"/>
        <v>5.9070766201906491</v>
      </c>
      <c r="D121" s="82">
        <f t="shared" si="69"/>
        <v>4.8000000000000016</v>
      </c>
      <c r="E121" s="12">
        <f t="shared" si="66"/>
        <v>226.71600000000012</v>
      </c>
      <c r="F121" s="83">
        <f t="shared" si="67"/>
        <v>8.261818838789492E-2</v>
      </c>
      <c r="G121" s="83">
        <f t="shared" si="67"/>
        <v>0.37152860208537525</v>
      </c>
      <c r="H121" s="83">
        <f t="shared" si="67"/>
        <v>0.59376960220713393</v>
      </c>
      <c r="I121" s="83">
        <f t="shared" si="67"/>
        <v>0.14703294824257473</v>
      </c>
      <c r="J121" s="83">
        <f t="shared" si="67"/>
        <v>0.21854675169939974</v>
      </c>
      <c r="K121" s="83">
        <f t="shared" si="67"/>
        <v>0.31776489363752775</v>
      </c>
      <c r="L121" s="83">
        <f t="shared" si="67"/>
        <v>0.49086915721416269</v>
      </c>
      <c r="M121" s="83">
        <f t="shared" si="67"/>
        <v>0.51418980976488782</v>
      </c>
      <c r="N121" s="83" t="str">
        <f t="shared" si="67"/>
        <v/>
      </c>
      <c r="O121" s="83" t="str">
        <f t="shared" si="67"/>
        <v/>
      </c>
      <c r="P121" s="83" t="str">
        <f t="shared" si="68"/>
        <v/>
      </c>
      <c r="Q121" s="83" t="str">
        <f t="shared" si="68"/>
        <v/>
      </c>
      <c r="R121" s="83" t="str">
        <f t="shared" si="68"/>
        <v/>
      </c>
      <c r="S121" s="83" t="str">
        <f t="shared" si="68"/>
        <v/>
      </c>
      <c r="T121" s="83" t="str">
        <f t="shared" si="68"/>
        <v/>
      </c>
      <c r="U121" s="83" t="str">
        <f t="shared" si="68"/>
        <v/>
      </c>
      <c r="V121" s="83" t="str">
        <f t="shared" si="68"/>
        <v/>
      </c>
      <c r="W121" s="83" t="str">
        <f t="shared" si="68"/>
        <v/>
      </c>
    </row>
    <row r="122" spans="1:23" x14ac:dyDescent="0.25">
      <c r="A122" s="68">
        <f t="shared" ca="1" si="64"/>
        <v>0.17704839578036213</v>
      </c>
      <c r="B122" s="82"/>
      <c r="C122" s="12">
        <f t="shared" si="65"/>
        <v>6.0655100243136069</v>
      </c>
      <c r="D122" s="82">
        <f t="shared" si="69"/>
        <v>4.950000000000002</v>
      </c>
      <c r="E122" s="12">
        <f t="shared" si="66"/>
        <v>236.27925000000016</v>
      </c>
      <c r="F122" s="83">
        <f t="shared" si="67"/>
        <v>0.17704839578036213</v>
      </c>
      <c r="G122" s="83">
        <f t="shared" si="67"/>
        <v>0.50284283213931069</v>
      </c>
      <c r="H122" s="83">
        <f t="shared" si="67"/>
        <v>0.6963313006101739</v>
      </c>
      <c r="I122" s="83">
        <f t="shared" si="67"/>
        <v>0.2641862064945904</v>
      </c>
      <c r="J122" s="83">
        <f t="shared" si="67"/>
        <v>0.34787653030413407</v>
      </c>
      <c r="K122" s="83">
        <f t="shared" si="67"/>
        <v>0.45112476641058286</v>
      </c>
      <c r="L122" s="83">
        <f t="shared" si="67"/>
        <v>0.61013777900527322</v>
      </c>
      <c r="M122" s="83">
        <f t="shared" si="67"/>
        <v>0.63012113762781297</v>
      </c>
      <c r="N122" s="83" t="str">
        <f t="shared" si="67"/>
        <v/>
      </c>
      <c r="O122" s="83" t="str">
        <f t="shared" si="67"/>
        <v/>
      </c>
      <c r="P122" s="83" t="str">
        <f t="shared" si="68"/>
        <v/>
      </c>
      <c r="Q122" s="83" t="str">
        <f t="shared" si="68"/>
        <v/>
      </c>
      <c r="R122" s="83" t="str">
        <f t="shared" si="68"/>
        <v/>
      </c>
      <c r="S122" s="83" t="str">
        <f t="shared" si="68"/>
        <v/>
      </c>
      <c r="T122" s="83" t="str">
        <f t="shared" si="68"/>
        <v/>
      </c>
      <c r="U122" s="83" t="str">
        <f t="shared" si="68"/>
        <v/>
      </c>
      <c r="V122" s="83" t="str">
        <f t="shared" si="68"/>
        <v/>
      </c>
      <c r="W122" s="83" t="str">
        <f t="shared" si="68"/>
        <v/>
      </c>
    </row>
    <row r="123" spans="1:23" x14ac:dyDescent="0.25">
      <c r="A123" s="68">
        <f t="shared" ca="1" si="64"/>
        <v>0.30027865719931057</v>
      </c>
      <c r="B123" s="82"/>
      <c r="C123" s="12">
        <f t="shared" si="65"/>
        <v>6.223608772920274</v>
      </c>
      <c r="D123" s="82">
        <f t="shared" si="69"/>
        <v>5.1000000000000023</v>
      </c>
      <c r="E123" s="12">
        <f t="shared" si="66"/>
        <v>245.84250000000014</v>
      </c>
      <c r="F123" s="83">
        <f t="shared" si="67"/>
        <v>0.30027865719931057</v>
      </c>
      <c r="G123" s="83">
        <f t="shared" si="67"/>
        <v>0.62020511113021559</v>
      </c>
      <c r="H123" s="83">
        <f t="shared" si="67"/>
        <v>0.77763907981385716</v>
      </c>
      <c r="I123" s="83">
        <f t="shared" si="67"/>
        <v>0.39655628315844915</v>
      </c>
      <c r="J123" s="83">
        <f t="shared" si="67"/>
        <v>0.48012218659391859</v>
      </c>
      <c r="K123" s="83">
        <f t="shared" si="67"/>
        <v>0.57515169669421018</v>
      </c>
      <c r="L123" s="83">
        <f t="shared" si="67"/>
        <v>0.7094161807012791</v>
      </c>
      <c r="M123" s="83">
        <f t="shared" si="67"/>
        <v>0.72548181369446385</v>
      </c>
      <c r="N123" s="83" t="str">
        <f t="shared" si="67"/>
        <v/>
      </c>
      <c r="O123" s="83" t="str">
        <f t="shared" si="67"/>
        <v/>
      </c>
      <c r="P123" s="83" t="str">
        <f t="shared" si="68"/>
        <v/>
      </c>
      <c r="Q123" s="83" t="str">
        <f t="shared" si="68"/>
        <v/>
      </c>
      <c r="R123" s="83" t="str">
        <f t="shared" si="68"/>
        <v/>
      </c>
      <c r="S123" s="83" t="str">
        <f t="shared" si="68"/>
        <v/>
      </c>
      <c r="T123" s="83" t="str">
        <f t="shared" si="68"/>
        <v/>
      </c>
      <c r="U123" s="83" t="str">
        <f t="shared" si="68"/>
        <v/>
      </c>
      <c r="V123" s="83" t="str">
        <f t="shared" si="68"/>
        <v/>
      </c>
      <c r="W123" s="83" t="str">
        <f t="shared" si="68"/>
        <v/>
      </c>
    </row>
    <row r="124" spans="1:23" x14ac:dyDescent="0.25">
      <c r="A124" s="68">
        <f t="shared" ca="1" si="64"/>
        <v>0.4332024115827583</v>
      </c>
      <c r="B124" s="82"/>
      <c r="C124" s="12">
        <f t="shared" si="65"/>
        <v>6.381398415085533</v>
      </c>
      <c r="D124" s="82">
        <f t="shared" si="69"/>
        <v>5.2500000000000027</v>
      </c>
      <c r="E124" s="12">
        <f t="shared" si="66"/>
        <v>255.40575000000018</v>
      </c>
      <c r="F124" s="83">
        <f t="shared" si="67"/>
        <v>0.4332024115827583</v>
      </c>
      <c r="G124" s="83">
        <f t="shared" si="67"/>
        <v>0.71736000157976365</v>
      </c>
      <c r="H124" s="83">
        <f t="shared" si="67"/>
        <v>0.83955920933608141</v>
      </c>
      <c r="I124" s="83">
        <f t="shared" si="67"/>
        <v>0.52562598889020351</v>
      </c>
      <c r="J124" s="83">
        <f t="shared" si="67"/>
        <v>0.60037754030043067</v>
      </c>
      <c r="K124" s="83">
        <f t="shared" si="67"/>
        <v>0.6807098611947231</v>
      </c>
      <c r="L124" s="83">
        <f t="shared" si="67"/>
        <v>0.78763031972972486</v>
      </c>
      <c r="M124" s="83">
        <f t="shared" si="67"/>
        <v>0.79999103136523564</v>
      </c>
      <c r="N124" s="83" t="str">
        <f t="shared" si="67"/>
        <v/>
      </c>
      <c r="O124" s="83" t="str">
        <f t="shared" si="67"/>
        <v/>
      </c>
      <c r="P124" s="83" t="str">
        <f t="shared" si="68"/>
        <v/>
      </c>
      <c r="Q124" s="83" t="str">
        <f t="shared" si="68"/>
        <v/>
      </c>
      <c r="R124" s="83" t="str">
        <f t="shared" si="68"/>
        <v/>
      </c>
      <c r="S124" s="83" t="str">
        <f t="shared" si="68"/>
        <v/>
      </c>
      <c r="T124" s="83" t="str">
        <f t="shared" si="68"/>
        <v/>
      </c>
      <c r="U124" s="83" t="str">
        <f t="shared" si="68"/>
        <v/>
      </c>
      <c r="V124" s="83" t="str">
        <f t="shared" si="68"/>
        <v/>
      </c>
      <c r="W124" s="83" t="str">
        <f t="shared" si="68"/>
        <v/>
      </c>
    </row>
    <row r="125" spans="1:23" x14ac:dyDescent="0.25">
      <c r="A125" s="68">
        <f t="shared" ca="1" si="64"/>
        <v>0.55873044854074183</v>
      </c>
      <c r="B125" s="82"/>
      <c r="C125" s="12">
        <f t="shared" si="65"/>
        <v>6.5389016813512875</v>
      </c>
      <c r="D125" s="82">
        <f t="shared" si="69"/>
        <v>5.400000000000003</v>
      </c>
      <c r="E125" s="12">
        <f t="shared" si="66"/>
        <v>264.96900000000022</v>
      </c>
      <c r="F125" s="83">
        <f t="shared" si="67"/>
        <v>0.55873044854074183</v>
      </c>
      <c r="G125" s="83">
        <f t="shared" si="67"/>
        <v>0.79363181466933463</v>
      </c>
      <c r="H125" s="83">
        <f t="shared" si="67"/>
        <v>0.88542833822114553</v>
      </c>
      <c r="I125" s="83">
        <f t="shared" si="67"/>
        <v>0.63920686379458325</v>
      </c>
      <c r="J125" s="83">
        <f t="shared" si="67"/>
        <v>0.70117004416924378</v>
      </c>
      <c r="K125" s="83">
        <f t="shared" si="67"/>
        <v>0.76519424430887517</v>
      </c>
      <c r="L125" s="83">
        <f t="shared" si="67"/>
        <v>0.84695258770140558</v>
      </c>
      <c r="M125" s="83">
        <f t="shared" si="67"/>
        <v>0.85617928089697581</v>
      </c>
      <c r="N125" s="83" t="str">
        <f t="shared" si="67"/>
        <v/>
      </c>
      <c r="O125" s="83" t="str">
        <f t="shared" si="67"/>
        <v/>
      </c>
      <c r="P125" s="83" t="str">
        <f t="shared" si="68"/>
        <v/>
      </c>
      <c r="Q125" s="83" t="str">
        <f t="shared" si="68"/>
        <v/>
      </c>
      <c r="R125" s="83" t="str">
        <f t="shared" si="68"/>
        <v/>
      </c>
      <c r="S125" s="83" t="str">
        <f t="shared" si="68"/>
        <v/>
      </c>
      <c r="T125" s="83" t="str">
        <f t="shared" si="68"/>
        <v/>
      </c>
      <c r="U125" s="83" t="str">
        <f t="shared" si="68"/>
        <v/>
      </c>
      <c r="V125" s="83" t="str">
        <f t="shared" si="68"/>
        <v/>
      </c>
      <c r="W125" s="83" t="str">
        <f t="shared" si="68"/>
        <v/>
      </c>
    </row>
    <row r="126" spans="1:23" x14ac:dyDescent="0.25">
      <c r="A126" s="68">
        <f t="shared" ca="1" si="64"/>
        <v>0.66679234546868571</v>
      </c>
      <c r="B126" s="82"/>
      <c r="C126" s="12">
        <f t="shared" si="65"/>
        <v>6.6961388836451192</v>
      </c>
      <c r="D126" s="82">
        <f t="shared" si="69"/>
        <v>5.5500000000000034</v>
      </c>
      <c r="E126" s="12">
        <f t="shared" si="66"/>
        <v>274.53225000000026</v>
      </c>
      <c r="F126" s="83">
        <f t="shared" si="67"/>
        <v>0.66679234546868571</v>
      </c>
      <c r="G126" s="83">
        <f t="shared" si="67"/>
        <v>0.85135396867175428</v>
      </c>
      <c r="H126" s="83">
        <f t="shared" si="67"/>
        <v>0.91876781070437663</v>
      </c>
      <c r="I126" s="83">
        <f t="shared" si="67"/>
        <v>0.73228240055232752</v>
      </c>
      <c r="J126" s="83">
        <f t="shared" si="67"/>
        <v>0.78100732256842587</v>
      </c>
      <c r="K126" s="83">
        <f t="shared" si="67"/>
        <v>0.82999694061470841</v>
      </c>
      <c r="L126" s="83">
        <f t="shared" si="67"/>
        <v>0.89078352594777799</v>
      </c>
      <c r="M126" s="83">
        <f t="shared" si="67"/>
        <v>0.89752890230310067</v>
      </c>
      <c r="N126" s="83" t="str">
        <f t="shared" si="67"/>
        <v/>
      </c>
      <c r="O126" s="83" t="str">
        <f t="shared" si="67"/>
        <v/>
      </c>
      <c r="P126" s="83" t="str">
        <f t="shared" si="68"/>
        <v/>
      </c>
      <c r="Q126" s="83" t="str">
        <f t="shared" si="68"/>
        <v/>
      </c>
      <c r="R126" s="83" t="str">
        <f t="shared" si="68"/>
        <v/>
      </c>
      <c r="S126" s="83" t="str">
        <f t="shared" si="68"/>
        <v/>
      </c>
      <c r="T126" s="83" t="str">
        <f t="shared" si="68"/>
        <v/>
      </c>
      <c r="U126" s="83" t="str">
        <f t="shared" si="68"/>
        <v/>
      </c>
      <c r="V126" s="83" t="str">
        <f t="shared" si="68"/>
        <v/>
      </c>
      <c r="W126" s="83" t="str">
        <f t="shared" si="68"/>
        <v/>
      </c>
    </row>
    <row r="127" spans="1:23" x14ac:dyDescent="0.25">
      <c r="A127" s="68">
        <f t="shared" ca="1" si="64"/>
        <v>0.7540222927609288</v>
      </c>
      <c r="B127" s="82"/>
      <c r="C127" s="12">
        <f t="shared" si="65"/>
        <v>6.85312824669208</v>
      </c>
      <c r="D127" s="82">
        <f t="shared" si="69"/>
        <v>5.7000000000000037</v>
      </c>
      <c r="E127" s="12">
        <f t="shared" si="66"/>
        <v>284.09550000000024</v>
      </c>
      <c r="F127" s="83">
        <f t="shared" si="67"/>
        <v>0.7540222927609288</v>
      </c>
      <c r="G127" s="83">
        <f t="shared" si="67"/>
        <v>0.893946843635823</v>
      </c>
      <c r="H127" s="83">
        <f t="shared" si="67"/>
        <v>0.94268704077332721</v>
      </c>
      <c r="I127" s="83">
        <f t="shared" si="67"/>
        <v>0.80487643712154555</v>
      </c>
      <c r="J127" s="83">
        <f t="shared" si="67"/>
        <v>0.84181928171470377</v>
      </c>
      <c r="K127" s="83">
        <f t="shared" ref="F127:U146" si="70">IF(ISERROR(1/SUM(K$33:K$37)),"",EXP(-(K$23*$E127^-0.47/10^$D127*K$37/K$33)))</f>
        <v>0.87826415421187276</v>
      </c>
      <c r="L127" s="83">
        <f t="shared" si="70"/>
        <v>0.92259077865983807</v>
      </c>
      <c r="M127" s="83">
        <f t="shared" si="70"/>
        <v>0.92745212191778104</v>
      </c>
      <c r="N127" s="83" t="str">
        <f t="shared" si="70"/>
        <v/>
      </c>
      <c r="O127" s="83" t="str">
        <f t="shared" si="70"/>
        <v/>
      </c>
      <c r="P127" s="83" t="str">
        <f t="shared" si="68"/>
        <v/>
      </c>
      <c r="Q127" s="83" t="str">
        <f t="shared" si="68"/>
        <v/>
      </c>
      <c r="R127" s="83" t="str">
        <f t="shared" si="68"/>
        <v/>
      </c>
      <c r="S127" s="83" t="str">
        <f t="shared" si="68"/>
        <v/>
      </c>
      <c r="T127" s="83" t="str">
        <f t="shared" si="68"/>
        <v/>
      </c>
      <c r="U127" s="83" t="str">
        <f t="shared" si="68"/>
        <v/>
      </c>
      <c r="V127" s="83" t="str">
        <f t="shared" si="68"/>
        <v/>
      </c>
      <c r="W127" s="83" t="str">
        <f t="shared" si="68"/>
        <v/>
      </c>
    </row>
    <row r="128" spans="1:23" x14ac:dyDescent="0.25">
      <c r="A128" s="68">
        <f t="shared" ca="1" si="64"/>
        <v>0.82136265088211191</v>
      </c>
      <c r="B128" s="82"/>
      <c r="C128" s="12">
        <f t="shared" si="65"/>
        <v>7.0098861845367884</v>
      </c>
      <c r="D128" s="82">
        <f t="shared" si="69"/>
        <v>5.8500000000000041</v>
      </c>
      <c r="E128" s="12">
        <f t="shared" si="66"/>
        <v>293.65875000000028</v>
      </c>
      <c r="F128" s="83">
        <f t="shared" si="70"/>
        <v>0.82136265088211191</v>
      </c>
      <c r="G128" s="83">
        <f t="shared" si="70"/>
        <v>0.92483344349848529</v>
      </c>
      <c r="H128" s="83">
        <f t="shared" si="70"/>
        <v>0.95969623548825533</v>
      </c>
      <c r="I128" s="83">
        <f t="shared" si="70"/>
        <v>0.85959099495339042</v>
      </c>
      <c r="J128" s="83">
        <f t="shared" si="70"/>
        <v>0.8869036401973186</v>
      </c>
      <c r="K128" s="83">
        <f t="shared" si="70"/>
        <v>0.91349441169133538</v>
      </c>
      <c r="L128" s="83">
        <f t="shared" si="70"/>
        <v>0.94538961638167585</v>
      </c>
      <c r="M128" s="83">
        <f t="shared" si="70"/>
        <v>0.94885901376145898</v>
      </c>
      <c r="N128" s="83" t="str">
        <f t="shared" si="70"/>
        <v/>
      </c>
      <c r="O128" s="83" t="str">
        <f t="shared" si="70"/>
        <v/>
      </c>
      <c r="P128" s="83" t="str">
        <f t="shared" si="68"/>
        <v/>
      </c>
      <c r="Q128" s="83" t="str">
        <f t="shared" si="68"/>
        <v/>
      </c>
      <c r="R128" s="83" t="str">
        <f t="shared" si="68"/>
        <v/>
      </c>
      <c r="S128" s="83" t="str">
        <f t="shared" si="68"/>
        <v/>
      </c>
      <c r="T128" s="83" t="str">
        <f t="shared" si="68"/>
        <v/>
      </c>
      <c r="U128" s="83" t="str">
        <f t="shared" si="68"/>
        <v/>
      </c>
      <c r="V128" s="83" t="str">
        <f t="shared" si="68"/>
        <v/>
      </c>
      <c r="W128" s="83" t="str">
        <f t="shared" si="68"/>
        <v/>
      </c>
    </row>
    <row r="129" spans="1:23" x14ac:dyDescent="0.25">
      <c r="A129" s="68">
        <f t="shared" ca="1" si="64"/>
        <v>0.87176588773713015</v>
      </c>
      <c r="B129" s="82"/>
      <c r="C129" s="12">
        <f t="shared" si="65"/>
        <v>7.166427532736229</v>
      </c>
      <c r="D129" s="82">
        <f t="shared" si="69"/>
        <v>6.0000000000000044</v>
      </c>
      <c r="E129" s="12">
        <f t="shared" si="66"/>
        <v>303.22200000000032</v>
      </c>
      <c r="F129" s="83">
        <f t="shared" si="70"/>
        <v>0.87176588773713015</v>
      </c>
      <c r="G129" s="83">
        <f t="shared" si="70"/>
        <v>0.94696509745495139</v>
      </c>
      <c r="H129" s="83">
        <f t="shared" si="70"/>
        <v>0.97171917822470344</v>
      </c>
      <c r="I129" s="83">
        <f t="shared" si="70"/>
        <v>0.89986549385831627</v>
      </c>
      <c r="J129" s="83">
        <f t="shared" si="70"/>
        <v>0.91971014467020928</v>
      </c>
      <c r="K129" s="83">
        <f t="shared" si="70"/>
        <v>0.93885335101754652</v>
      </c>
      <c r="L129" s="83">
        <f t="shared" si="70"/>
        <v>0.96159435151163519</v>
      </c>
      <c r="M129" s="83">
        <f t="shared" si="70"/>
        <v>0.9640538860300103</v>
      </c>
      <c r="N129" s="83" t="str">
        <f t="shared" si="70"/>
        <v/>
      </c>
      <c r="O129" s="83" t="str">
        <f t="shared" si="70"/>
        <v/>
      </c>
      <c r="P129" s="83" t="str">
        <f t="shared" si="68"/>
        <v/>
      </c>
      <c r="Q129" s="83" t="str">
        <f t="shared" si="68"/>
        <v/>
      </c>
      <c r="R129" s="83" t="str">
        <f t="shared" si="68"/>
        <v/>
      </c>
      <c r="S129" s="83" t="str">
        <f t="shared" si="68"/>
        <v/>
      </c>
      <c r="T129" s="83" t="str">
        <f t="shared" si="68"/>
        <v/>
      </c>
      <c r="U129" s="83" t="str">
        <f t="shared" si="68"/>
        <v/>
      </c>
      <c r="V129" s="83" t="str">
        <f t="shared" si="68"/>
        <v/>
      </c>
      <c r="W129" s="83" t="str">
        <f t="shared" si="68"/>
        <v/>
      </c>
    </row>
    <row r="130" spans="1:23" x14ac:dyDescent="0.25">
      <c r="A130" s="68">
        <f t="shared" ca="1" si="64"/>
        <v>0.90869398648727928</v>
      </c>
      <c r="B130" s="82"/>
      <c r="C130" s="12">
        <f t="shared" si="65"/>
        <v>7.3227657444866896</v>
      </c>
      <c r="D130" s="82">
        <f t="shared" si="69"/>
        <v>6.1500000000000048</v>
      </c>
      <c r="E130" s="12">
        <f t="shared" si="66"/>
        <v>312.7852500000003</v>
      </c>
      <c r="F130" s="83">
        <f t="shared" si="70"/>
        <v>0.90869398648727928</v>
      </c>
      <c r="G130" s="83">
        <f t="shared" si="70"/>
        <v>0.96269446797117952</v>
      </c>
      <c r="H130" s="83">
        <f t="shared" si="70"/>
        <v>0.98018338595518961</v>
      </c>
      <c r="I130" s="83">
        <f t="shared" si="70"/>
        <v>0.92903103274213494</v>
      </c>
      <c r="J130" s="83">
        <f t="shared" si="70"/>
        <v>0.94327796958926102</v>
      </c>
      <c r="K130" s="83">
        <f t="shared" si="70"/>
        <v>0.95693350981739433</v>
      </c>
      <c r="L130" s="83">
        <f t="shared" si="70"/>
        <v>0.97304660252172193</v>
      </c>
      <c r="M130" s="83">
        <f t="shared" si="70"/>
        <v>0.97478235859633644</v>
      </c>
      <c r="N130" s="83" t="str">
        <f t="shared" si="70"/>
        <v/>
      </c>
      <c r="O130" s="83" t="str">
        <f t="shared" si="70"/>
        <v/>
      </c>
      <c r="P130" s="83" t="str">
        <f t="shared" si="68"/>
        <v/>
      </c>
      <c r="Q130" s="83" t="str">
        <f t="shared" si="68"/>
        <v/>
      </c>
      <c r="R130" s="83" t="str">
        <f t="shared" si="68"/>
        <v/>
      </c>
      <c r="S130" s="83" t="str">
        <f t="shared" si="68"/>
        <v/>
      </c>
      <c r="T130" s="83" t="str">
        <f t="shared" si="68"/>
        <v/>
      </c>
      <c r="U130" s="83" t="str">
        <f t="shared" si="68"/>
        <v/>
      </c>
      <c r="V130" s="83" t="str">
        <f t="shared" si="68"/>
        <v/>
      </c>
      <c r="W130" s="83" t="str">
        <f t="shared" si="68"/>
        <v/>
      </c>
    </row>
    <row r="131" spans="1:23" x14ac:dyDescent="0.25">
      <c r="A131" s="68">
        <f t="shared" ca="1" si="64"/>
        <v>0.93535334845129303</v>
      </c>
      <c r="B131" s="82"/>
      <c r="C131" s="12">
        <f t="shared" si="65"/>
        <v>7.4789130572052258</v>
      </c>
      <c r="D131" s="82">
        <f t="shared" si="69"/>
        <v>6.3000000000000052</v>
      </c>
      <c r="E131" s="12">
        <f t="shared" si="66"/>
        <v>322.34850000000034</v>
      </c>
      <c r="F131" s="83">
        <f t="shared" si="70"/>
        <v>0.93535334845129303</v>
      </c>
      <c r="G131" s="83">
        <f t="shared" si="70"/>
        <v>0.97381179156629261</v>
      </c>
      <c r="H131" s="83">
        <f t="shared" si="70"/>
        <v>0.98612634048412129</v>
      </c>
      <c r="I131" s="83">
        <f t="shared" si="70"/>
        <v>0.94991607015680579</v>
      </c>
      <c r="J131" s="83">
        <f t="shared" si="70"/>
        <v>0.96006053184774109</v>
      </c>
      <c r="K131" s="83">
        <f t="shared" si="70"/>
        <v>0.96974054649494845</v>
      </c>
      <c r="L131" s="83">
        <f t="shared" si="70"/>
        <v>0.98110916643159174</v>
      </c>
      <c r="M131" s="83">
        <f t="shared" si="70"/>
        <v>0.98233042652361957</v>
      </c>
      <c r="N131" s="83" t="str">
        <f t="shared" si="70"/>
        <v/>
      </c>
      <c r="O131" s="83" t="str">
        <f t="shared" si="70"/>
        <v/>
      </c>
      <c r="P131" s="83" t="str">
        <f t="shared" si="68"/>
        <v/>
      </c>
      <c r="Q131" s="83" t="str">
        <f t="shared" si="68"/>
        <v/>
      </c>
      <c r="R131" s="83" t="str">
        <f t="shared" si="68"/>
        <v/>
      </c>
      <c r="S131" s="83" t="str">
        <f t="shared" si="68"/>
        <v/>
      </c>
      <c r="T131" s="83" t="str">
        <f t="shared" si="68"/>
        <v/>
      </c>
      <c r="U131" s="83" t="str">
        <f t="shared" si="68"/>
        <v/>
      </c>
      <c r="V131" s="83" t="str">
        <f t="shared" si="68"/>
        <v/>
      </c>
      <c r="W131" s="83" t="str">
        <f t="shared" si="68"/>
        <v/>
      </c>
    </row>
    <row r="132" spans="1:23" x14ac:dyDescent="0.25">
      <c r="A132" s="68">
        <f t="shared" ca="1" si="64"/>
        <v>0.95440517153756133</v>
      </c>
      <c r="B132" s="82"/>
      <c r="C132" s="12">
        <f t="shared" si="65"/>
        <v>7.6348806347508305</v>
      </c>
      <c r="D132" s="82">
        <f t="shared" si="69"/>
        <v>6.4500000000000055</v>
      </c>
      <c r="E132" s="12">
        <f t="shared" si="66"/>
        <v>331.91175000000038</v>
      </c>
      <c r="F132" s="83">
        <f t="shared" si="70"/>
        <v>0.95440517153756133</v>
      </c>
      <c r="G132" s="83">
        <f t="shared" si="70"/>
        <v>0.98164009994679768</v>
      </c>
      <c r="H132" s="83">
        <f t="shared" si="70"/>
        <v>0.99029183911379881</v>
      </c>
      <c r="I132" s="83">
        <f t="shared" si="70"/>
        <v>0.96475701399143488</v>
      </c>
      <c r="J132" s="83">
        <f t="shared" si="70"/>
        <v>0.9719398694660869</v>
      </c>
      <c r="K132" s="83">
        <f t="shared" si="70"/>
        <v>0.97877254829532723</v>
      </c>
      <c r="L132" s="83">
        <f t="shared" si="70"/>
        <v>0.98677091898416036</v>
      </c>
      <c r="M132" s="83">
        <f t="shared" si="70"/>
        <v>0.98762846627555756</v>
      </c>
      <c r="N132" s="83" t="str">
        <f t="shared" si="70"/>
        <v/>
      </c>
      <c r="O132" s="83" t="str">
        <f t="shared" si="70"/>
        <v/>
      </c>
      <c r="P132" s="83" t="str">
        <f t="shared" si="70"/>
        <v/>
      </c>
      <c r="Q132" s="83" t="str">
        <f t="shared" si="70"/>
        <v/>
      </c>
      <c r="R132" s="83" t="str">
        <f t="shared" si="70"/>
        <v/>
      </c>
      <c r="S132" s="83" t="str">
        <f t="shared" si="70"/>
        <v/>
      </c>
      <c r="T132" s="83" t="str">
        <f t="shared" si="70"/>
        <v/>
      </c>
      <c r="U132" s="83" t="str">
        <f t="shared" si="70"/>
        <v/>
      </c>
      <c r="V132" s="83" t="str">
        <f t="shared" ref="P132:W146" si="71">IF(ISERROR(1/SUM(V$33:V$37)),"",EXP(-(V$23*$E132^-0.47/10^$D132*V$37/V$33)))</f>
        <v/>
      </c>
      <c r="W132" s="83" t="str">
        <f t="shared" si="71"/>
        <v/>
      </c>
    </row>
    <row r="133" spans="1:23" x14ac:dyDescent="0.25">
      <c r="A133" s="68">
        <f t="shared" ca="1" si="64"/>
        <v>0.96792607881759352</v>
      </c>
      <c r="B133" s="82"/>
      <c r="C133" s="12">
        <f t="shared" si="65"/>
        <v>7.7906786894389546</v>
      </c>
      <c r="D133" s="82">
        <f t="shared" si="69"/>
        <v>6.6000000000000059</v>
      </c>
      <c r="E133" s="12">
        <f t="shared" si="66"/>
        <v>341.47500000000042</v>
      </c>
      <c r="F133" s="83">
        <f t="shared" si="70"/>
        <v>0.96792607881759352</v>
      </c>
      <c r="G133" s="83">
        <f t="shared" si="70"/>
        <v>0.98713878380721021</v>
      </c>
      <c r="H133" s="83">
        <f t="shared" si="70"/>
        <v>0.99320832954413429</v>
      </c>
      <c r="I133" s="83">
        <f t="shared" si="70"/>
        <v>0.97524794477608068</v>
      </c>
      <c r="J133" s="83">
        <f t="shared" si="70"/>
        <v>0.9803144689692902</v>
      </c>
      <c r="K133" s="83">
        <f t="shared" si="70"/>
        <v>0.98512352636873657</v>
      </c>
      <c r="L133" s="83">
        <f t="shared" si="70"/>
        <v>0.99074019802116708</v>
      </c>
      <c r="M133" s="83">
        <f t="shared" si="70"/>
        <v>0.99134157472375017</v>
      </c>
      <c r="N133" s="83" t="str">
        <f t="shared" si="70"/>
        <v/>
      </c>
      <c r="O133" s="83" t="str">
        <f t="shared" si="70"/>
        <v/>
      </c>
      <c r="P133" s="83" t="str">
        <f t="shared" si="71"/>
        <v/>
      </c>
      <c r="Q133" s="83" t="str">
        <f t="shared" si="71"/>
        <v/>
      </c>
      <c r="R133" s="83" t="str">
        <f t="shared" si="71"/>
        <v/>
      </c>
      <c r="S133" s="83" t="str">
        <f t="shared" si="71"/>
        <v/>
      </c>
      <c r="T133" s="83" t="str">
        <f t="shared" si="71"/>
        <v/>
      </c>
      <c r="U133" s="83" t="str">
        <f t="shared" si="71"/>
        <v/>
      </c>
      <c r="V133" s="83" t="str">
        <f t="shared" si="71"/>
        <v/>
      </c>
      <c r="W133" s="83" t="str">
        <f t="shared" si="71"/>
        <v/>
      </c>
    </row>
    <row r="134" spans="1:23" x14ac:dyDescent="0.25">
      <c r="A134" s="68">
        <f t="shared" ca="1" si="64"/>
        <v>0.97747647387533154</v>
      </c>
      <c r="B134" s="82"/>
      <c r="C134" s="12">
        <f t="shared" si="65"/>
        <v>7.94631658719954</v>
      </c>
      <c r="D134" s="82">
        <f t="shared" si="69"/>
        <v>6.7500000000000062</v>
      </c>
      <c r="E134" s="12">
        <f t="shared" si="66"/>
        <v>351.0382500000004</v>
      </c>
      <c r="F134" s="83">
        <f t="shared" si="70"/>
        <v>0.97747647387533154</v>
      </c>
      <c r="G134" s="83">
        <f t="shared" si="70"/>
        <v>0.99099488655030754</v>
      </c>
      <c r="H134" s="83">
        <f t="shared" si="70"/>
        <v>0.99524901151149425</v>
      </c>
      <c r="I134" s="83">
        <f t="shared" si="70"/>
        <v>0.98263772042244224</v>
      </c>
      <c r="J134" s="83">
        <f t="shared" si="70"/>
        <v>0.98620232592473145</v>
      </c>
      <c r="K134" s="83">
        <f t="shared" si="70"/>
        <v>0.98958065849233345</v>
      </c>
      <c r="L134" s="83">
        <f t="shared" si="70"/>
        <v>0.99352005340093608</v>
      </c>
      <c r="M134" s="83">
        <f t="shared" si="70"/>
        <v>0.9939414449919578</v>
      </c>
      <c r="N134" s="83" t="str">
        <f t="shared" si="70"/>
        <v/>
      </c>
      <c r="O134" s="83" t="str">
        <f t="shared" si="70"/>
        <v/>
      </c>
      <c r="P134" s="83" t="str">
        <f t="shared" si="71"/>
        <v/>
      </c>
      <c r="Q134" s="83" t="str">
        <f t="shared" si="71"/>
        <v/>
      </c>
      <c r="R134" s="83" t="str">
        <f t="shared" si="71"/>
        <v/>
      </c>
      <c r="S134" s="83" t="str">
        <f t="shared" si="71"/>
        <v/>
      </c>
      <c r="T134" s="83" t="str">
        <f t="shared" si="71"/>
        <v/>
      </c>
      <c r="U134" s="83" t="str">
        <f t="shared" si="71"/>
        <v/>
      </c>
      <c r="V134" s="83" t="str">
        <f t="shared" si="71"/>
        <v/>
      </c>
      <c r="W134" s="83" t="str">
        <f t="shared" si="71"/>
        <v/>
      </c>
    </row>
    <row r="135" spans="1:23" x14ac:dyDescent="0.25">
      <c r="A135" s="68">
        <f t="shared" ca="1" si="64"/>
        <v>0.98420084216495807</v>
      </c>
      <c r="B135" s="82"/>
      <c r="C135" s="12">
        <f t="shared" si="65"/>
        <v>8.1018029385980714</v>
      </c>
      <c r="D135" s="82">
        <f t="shared" si="69"/>
        <v>6.9000000000000066</v>
      </c>
      <c r="E135" s="12">
        <f t="shared" si="66"/>
        <v>360.60150000000044</v>
      </c>
      <c r="F135" s="83">
        <f t="shared" si="70"/>
        <v>0.98420084216495807</v>
      </c>
      <c r="G135" s="83">
        <f t="shared" si="70"/>
        <v>0.99369633366572685</v>
      </c>
      <c r="H135" s="83">
        <f t="shared" si="70"/>
        <v>0.99667640094302312</v>
      </c>
      <c r="I135" s="83">
        <f t="shared" si="70"/>
        <v>0.98783079742292312</v>
      </c>
      <c r="J135" s="83">
        <f t="shared" si="70"/>
        <v>0.990334469825498</v>
      </c>
      <c r="K135" s="83">
        <f t="shared" si="70"/>
        <v>0.99270479723145388</v>
      </c>
      <c r="L135" s="83">
        <f t="shared" si="70"/>
        <v>0.99546570765353404</v>
      </c>
      <c r="M135" s="83">
        <f t="shared" si="70"/>
        <v>0.99576084316437763</v>
      </c>
      <c r="N135" s="83" t="str">
        <f t="shared" si="70"/>
        <v/>
      </c>
      <c r="O135" s="83" t="str">
        <f t="shared" si="70"/>
        <v/>
      </c>
      <c r="P135" s="83" t="str">
        <f t="shared" si="71"/>
        <v/>
      </c>
      <c r="Q135" s="83" t="str">
        <f t="shared" si="71"/>
        <v/>
      </c>
      <c r="R135" s="83" t="str">
        <f t="shared" si="71"/>
        <v/>
      </c>
      <c r="S135" s="83" t="str">
        <f t="shared" si="71"/>
        <v/>
      </c>
      <c r="T135" s="83" t="str">
        <f t="shared" si="71"/>
        <v/>
      </c>
      <c r="U135" s="83" t="str">
        <f t="shared" si="71"/>
        <v/>
      </c>
      <c r="V135" s="83" t="str">
        <f t="shared" si="71"/>
        <v/>
      </c>
      <c r="W135" s="83" t="str">
        <f t="shared" si="71"/>
        <v/>
      </c>
    </row>
    <row r="136" spans="1:23" x14ac:dyDescent="0.25">
      <c r="A136" s="68">
        <f t="shared" ca="1" si="64"/>
        <v>0.98892538214928138</v>
      </c>
      <c r="B136" s="82"/>
      <c r="C136" s="12">
        <f t="shared" si="65"/>
        <v>8.2571456779406969</v>
      </c>
      <c r="D136" s="82">
        <f t="shared" si="69"/>
        <v>7.0500000000000069</v>
      </c>
      <c r="E136" s="12">
        <f t="shared" si="66"/>
        <v>370.16475000000048</v>
      </c>
      <c r="F136" s="83">
        <f t="shared" si="70"/>
        <v>0.98892538214928138</v>
      </c>
      <c r="G136" s="83">
        <f t="shared" si="70"/>
        <v>0.99558772035345133</v>
      </c>
      <c r="H136" s="83">
        <f t="shared" si="70"/>
        <v>0.99767467761567774</v>
      </c>
      <c r="I136" s="83">
        <f t="shared" si="70"/>
        <v>0.99147454632624765</v>
      </c>
      <c r="J136" s="83">
        <f t="shared" si="70"/>
        <v>0.99323112829563509</v>
      </c>
      <c r="K136" s="83">
        <f t="shared" si="70"/>
        <v>0.99489292491036119</v>
      </c>
      <c r="L136" s="83">
        <f t="shared" si="70"/>
        <v>0.99682704916678666</v>
      </c>
      <c r="M136" s="83">
        <f t="shared" si="70"/>
        <v>0.9970337074801523</v>
      </c>
      <c r="N136" s="83" t="str">
        <f t="shared" si="70"/>
        <v/>
      </c>
      <c r="O136" s="83" t="str">
        <f t="shared" si="70"/>
        <v/>
      </c>
      <c r="P136" s="83" t="str">
        <f t="shared" si="71"/>
        <v/>
      </c>
      <c r="Q136" s="83" t="str">
        <f t="shared" si="71"/>
        <v/>
      </c>
      <c r="R136" s="83" t="str">
        <f t="shared" si="71"/>
        <v/>
      </c>
      <c r="S136" s="83" t="str">
        <f t="shared" si="71"/>
        <v/>
      </c>
      <c r="T136" s="83" t="str">
        <f t="shared" si="71"/>
        <v/>
      </c>
      <c r="U136" s="83" t="str">
        <f t="shared" si="71"/>
        <v/>
      </c>
      <c r="V136" s="83" t="str">
        <f t="shared" si="71"/>
        <v/>
      </c>
      <c r="W136" s="83" t="str">
        <f t="shared" si="71"/>
        <v/>
      </c>
    </row>
    <row r="137" spans="1:23" x14ac:dyDescent="0.25">
      <c r="A137" s="68">
        <f t="shared" ca="1" si="64"/>
        <v>0.99224024862618598</v>
      </c>
      <c r="B137" s="82"/>
      <c r="C137" s="12">
        <f t="shared" si="65"/>
        <v>8.4123521322876904</v>
      </c>
      <c r="D137" s="82">
        <f t="shared" si="69"/>
        <v>7.2000000000000073</v>
      </c>
      <c r="E137" s="12">
        <f t="shared" si="66"/>
        <v>379.72800000000046</v>
      </c>
      <c r="F137" s="83">
        <f t="shared" si="70"/>
        <v>0.99224024862618598</v>
      </c>
      <c r="G137" s="83">
        <f t="shared" si="70"/>
        <v>0.99691151898395036</v>
      </c>
      <c r="H137" s="83">
        <f t="shared" si="70"/>
        <v>0.9983728463172582</v>
      </c>
      <c r="I137" s="83">
        <f t="shared" si="70"/>
        <v>0.99402869789644743</v>
      </c>
      <c r="J137" s="83">
        <f t="shared" si="70"/>
        <v>0.9952602811907294</v>
      </c>
      <c r="K137" s="83">
        <f t="shared" si="70"/>
        <v>0.99642480576904413</v>
      </c>
      <c r="L137" s="83">
        <f t="shared" si="70"/>
        <v>0.99777943156928905</v>
      </c>
      <c r="M137" s="83">
        <f t="shared" si="70"/>
        <v>0.997924124606407</v>
      </c>
      <c r="N137" s="83" t="str">
        <f t="shared" si="70"/>
        <v/>
      </c>
      <c r="O137" s="83" t="str">
        <f t="shared" si="70"/>
        <v/>
      </c>
      <c r="P137" s="83" t="str">
        <f t="shared" si="71"/>
        <v/>
      </c>
      <c r="Q137" s="83" t="str">
        <f t="shared" si="71"/>
        <v/>
      </c>
      <c r="R137" s="83" t="str">
        <f t="shared" si="71"/>
        <v/>
      </c>
      <c r="S137" s="83" t="str">
        <f t="shared" si="71"/>
        <v/>
      </c>
      <c r="T137" s="83" t="str">
        <f t="shared" si="71"/>
        <v/>
      </c>
      <c r="U137" s="83" t="str">
        <f t="shared" si="71"/>
        <v/>
      </c>
      <c r="V137" s="83" t="str">
        <f t="shared" si="71"/>
        <v/>
      </c>
      <c r="W137" s="83" t="str">
        <f t="shared" si="71"/>
        <v/>
      </c>
    </row>
    <row r="138" spans="1:23" x14ac:dyDescent="0.25">
      <c r="A138" s="68">
        <f t="shared" ca="1" si="64"/>
        <v>0.99456401502728264</v>
      </c>
      <c r="B138" s="82"/>
      <c r="C138" s="12">
        <f t="shared" si="65"/>
        <v>8.567429081881814</v>
      </c>
      <c r="D138" s="82">
        <f t="shared" si="69"/>
        <v>7.3500000000000076</v>
      </c>
      <c r="E138" s="12">
        <f t="shared" si="66"/>
        <v>389.2912500000005</v>
      </c>
      <c r="F138" s="83">
        <f t="shared" si="70"/>
        <v>0.99456401502728264</v>
      </c>
      <c r="G138" s="83">
        <f t="shared" si="70"/>
        <v>0.99783793077263094</v>
      </c>
      <c r="H138" s="83">
        <f t="shared" si="70"/>
        <v>0.99886117292158327</v>
      </c>
      <c r="I138" s="83">
        <f t="shared" si="70"/>
        <v>0.99581801672849957</v>
      </c>
      <c r="J138" s="83">
        <f t="shared" si="70"/>
        <v>0.99668116845571197</v>
      </c>
      <c r="K138" s="83">
        <f t="shared" si="70"/>
        <v>0.99749702730151779</v>
      </c>
      <c r="L138" s="83">
        <f t="shared" si="70"/>
        <v>0.99844570975934743</v>
      </c>
      <c r="M138" s="83">
        <f t="shared" si="70"/>
        <v>0.9985470194842051</v>
      </c>
      <c r="N138" s="83" t="str">
        <f t="shared" si="70"/>
        <v/>
      </c>
      <c r="O138" s="83" t="str">
        <f t="shared" si="70"/>
        <v/>
      </c>
      <c r="P138" s="83" t="str">
        <f t="shared" si="71"/>
        <v/>
      </c>
      <c r="Q138" s="83" t="str">
        <f t="shared" si="71"/>
        <v/>
      </c>
      <c r="R138" s="83" t="str">
        <f t="shared" si="71"/>
        <v/>
      </c>
      <c r="S138" s="83" t="str">
        <f t="shared" si="71"/>
        <v/>
      </c>
      <c r="T138" s="83" t="str">
        <f t="shared" si="71"/>
        <v/>
      </c>
      <c r="U138" s="83" t="str">
        <f t="shared" si="71"/>
        <v/>
      </c>
      <c r="V138" s="83" t="str">
        <f t="shared" si="71"/>
        <v/>
      </c>
      <c r="W138" s="83" t="str">
        <f t="shared" si="71"/>
        <v/>
      </c>
    </row>
    <row r="139" spans="1:23" x14ac:dyDescent="0.25">
      <c r="A139" s="68">
        <f t="shared" ca="1" si="64"/>
        <v>0.99619215353175106</v>
      </c>
      <c r="B139" s="82"/>
      <c r="C139" s="12">
        <f t="shared" si="65"/>
        <v>8.7223828132420884</v>
      </c>
      <c r="D139" s="82">
        <f t="shared" si="69"/>
        <v>7.500000000000008</v>
      </c>
      <c r="E139" s="12">
        <f t="shared" si="66"/>
        <v>398.85450000000054</v>
      </c>
      <c r="F139" s="83">
        <f t="shared" si="70"/>
        <v>0.99619215353175106</v>
      </c>
      <c r="G139" s="83">
        <f t="shared" si="70"/>
        <v>0.99848624057967161</v>
      </c>
      <c r="H139" s="83">
        <f t="shared" si="70"/>
        <v>0.99920277980330219</v>
      </c>
      <c r="I139" s="83">
        <f t="shared" si="70"/>
        <v>0.99707112068553694</v>
      </c>
      <c r="J139" s="83">
        <f t="shared" si="70"/>
        <v>0.99767593645625985</v>
      </c>
      <c r="K139" s="83">
        <f t="shared" si="70"/>
        <v>0.99824746932987785</v>
      </c>
      <c r="L139" s="83">
        <f t="shared" si="70"/>
        <v>0.99891187265023829</v>
      </c>
      <c r="M139" s="83">
        <f t="shared" si="70"/>
        <v>0.99898281303060221</v>
      </c>
      <c r="N139" s="83" t="str">
        <f t="shared" si="70"/>
        <v/>
      </c>
      <c r="O139" s="83" t="str">
        <f t="shared" si="70"/>
        <v/>
      </c>
      <c r="P139" s="83" t="str">
        <f t="shared" si="71"/>
        <v/>
      </c>
      <c r="Q139" s="83" t="str">
        <f t="shared" si="71"/>
        <v/>
      </c>
      <c r="R139" s="83" t="str">
        <f t="shared" si="71"/>
        <v/>
      </c>
      <c r="S139" s="83" t="str">
        <f t="shared" si="71"/>
        <v/>
      </c>
      <c r="T139" s="83" t="str">
        <f t="shared" si="71"/>
        <v/>
      </c>
      <c r="U139" s="83" t="str">
        <f t="shared" si="71"/>
        <v/>
      </c>
      <c r="V139" s="83" t="str">
        <f t="shared" si="71"/>
        <v/>
      </c>
      <c r="W139" s="83" t="str">
        <f t="shared" si="71"/>
        <v/>
      </c>
    </row>
    <row r="140" spans="1:23" x14ac:dyDescent="0.25">
      <c r="A140" s="68">
        <f t="shared" ca="1" si="64"/>
        <v>0.99733258009754777</v>
      </c>
      <c r="B140" s="82"/>
      <c r="C140" s="12">
        <f t="shared" si="65"/>
        <v>8.8772191659659772</v>
      </c>
      <c r="D140" s="82">
        <f t="shared" si="69"/>
        <v>7.6500000000000083</v>
      </c>
      <c r="E140" s="12">
        <f t="shared" si="66"/>
        <v>408.41775000000058</v>
      </c>
      <c r="F140" s="83">
        <f t="shared" si="70"/>
        <v>0.99733258009754777</v>
      </c>
      <c r="G140" s="83">
        <f t="shared" si="70"/>
        <v>0.99893996760551407</v>
      </c>
      <c r="H140" s="83">
        <f t="shared" si="70"/>
        <v>0.99944179480935169</v>
      </c>
      <c r="I140" s="83">
        <f t="shared" si="70"/>
        <v>0.99794857304962636</v>
      </c>
      <c r="J140" s="83">
        <f t="shared" si="70"/>
        <v>0.99837234214845638</v>
      </c>
      <c r="K140" s="83">
        <f t="shared" si="70"/>
        <v>0.99877272051978183</v>
      </c>
      <c r="L140" s="83">
        <f t="shared" si="70"/>
        <v>0.99923807142510224</v>
      </c>
      <c r="M140" s="83">
        <f t="shared" si="70"/>
        <v>0.9992877528831331</v>
      </c>
      <c r="N140" s="83" t="str">
        <f t="shared" si="70"/>
        <v/>
      </c>
      <c r="O140" s="83" t="str">
        <f t="shared" si="70"/>
        <v/>
      </c>
      <c r="P140" s="83" t="str">
        <f t="shared" si="71"/>
        <v/>
      </c>
      <c r="Q140" s="83" t="str">
        <f t="shared" si="71"/>
        <v/>
      </c>
      <c r="R140" s="83" t="str">
        <f t="shared" si="71"/>
        <v/>
      </c>
      <c r="S140" s="83" t="str">
        <f t="shared" si="71"/>
        <v/>
      </c>
      <c r="T140" s="83" t="str">
        <f t="shared" si="71"/>
        <v/>
      </c>
      <c r="U140" s="83" t="str">
        <f t="shared" si="71"/>
        <v/>
      </c>
      <c r="V140" s="83" t="str">
        <f t="shared" si="71"/>
        <v/>
      </c>
      <c r="W140" s="83" t="str">
        <f t="shared" si="71"/>
        <v/>
      </c>
    </row>
    <row r="141" spans="1:23" x14ac:dyDescent="0.25">
      <c r="A141" s="68">
        <f t="shared" ca="1" si="64"/>
        <v>0.99813129500552566</v>
      </c>
      <c r="B141" s="82"/>
      <c r="C141" s="12">
        <f t="shared" si="65"/>
        <v>9.0319435741140168</v>
      </c>
      <c r="D141" s="82">
        <f t="shared" si="69"/>
        <v>7.8000000000000087</v>
      </c>
      <c r="E141" s="12">
        <f t="shared" si="66"/>
        <v>417.98100000000056</v>
      </c>
      <c r="F141" s="83">
        <f t="shared" si="70"/>
        <v>0.99813129500552566</v>
      </c>
      <c r="G141" s="83">
        <f t="shared" si="70"/>
        <v>0.99925755592700904</v>
      </c>
      <c r="H141" s="83">
        <f t="shared" si="70"/>
        <v>0.99960906387953674</v>
      </c>
      <c r="I141" s="83">
        <f t="shared" si="70"/>
        <v>0.99856297190896759</v>
      </c>
      <c r="J141" s="83">
        <f t="shared" si="70"/>
        <v>0.99885989538815256</v>
      </c>
      <c r="K141" s="83">
        <f t="shared" si="70"/>
        <v>0.99914039491912576</v>
      </c>
      <c r="L141" s="83">
        <f t="shared" si="70"/>
        <v>0.99946637096141167</v>
      </c>
      <c r="M141" s="83">
        <f t="shared" si="70"/>
        <v>0.99950116989237237</v>
      </c>
      <c r="N141" s="83" t="str">
        <f t="shared" si="70"/>
        <v/>
      </c>
      <c r="O141" s="83" t="str">
        <f t="shared" si="70"/>
        <v/>
      </c>
      <c r="P141" s="83" t="str">
        <f t="shared" si="71"/>
        <v/>
      </c>
      <c r="Q141" s="83" t="str">
        <f t="shared" si="71"/>
        <v/>
      </c>
      <c r="R141" s="83" t="str">
        <f t="shared" si="71"/>
        <v/>
      </c>
      <c r="S141" s="83" t="str">
        <f t="shared" si="71"/>
        <v/>
      </c>
      <c r="T141" s="83" t="str">
        <f t="shared" si="71"/>
        <v/>
      </c>
      <c r="U141" s="83" t="str">
        <f t="shared" si="71"/>
        <v/>
      </c>
      <c r="V141" s="83" t="str">
        <f t="shared" si="71"/>
        <v/>
      </c>
      <c r="W141" s="83" t="str">
        <f t="shared" si="71"/>
        <v/>
      </c>
    </row>
    <row r="142" spans="1:23" x14ac:dyDescent="0.25">
      <c r="A142" s="68">
        <f t="shared" ca="1" si="64"/>
        <v>0.99869068287516194</v>
      </c>
      <c r="B142" s="82"/>
      <c r="C142" s="12">
        <f t="shared" si="65"/>
        <v>9.1865611029123713</v>
      </c>
      <c r="D142" s="82">
        <f t="shared" si="69"/>
        <v>7.9500000000000091</v>
      </c>
      <c r="E142" s="12">
        <f t="shared" si="66"/>
        <v>427.5442500000006</v>
      </c>
      <c r="F142" s="83">
        <f t="shared" si="70"/>
        <v>0.99869068287516194</v>
      </c>
      <c r="G142" s="83">
        <f t="shared" si="70"/>
        <v>0.99947989081832134</v>
      </c>
      <c r="H142" s="83">
        <f t="shared" si="70"/>
        <v>0.9997261493967935</v>
      </c>
      <c r="I142" s="83">
        <f t="shared" si="70"/>
        <v>0.99899320454096852</v>
      </c>
      <c r="J142" s="83">
        <f t="shared" si="70"/>
        <v>0.99920126748971827</v>
      </c>
      <c r="K142" s="83">
        <f t="shared" si="70"/>
        <v>0.99939780468157824</v>
      </c>
      <c r="L142" s="83">
        <f t="shared" si="70"/>
        <v>0.99962618507065482</v>
      </c>
      <c r="M142" s="83">
        <f t="shared" si="70"/>
        <v>0.99965056405154051</v>
      </c>
      <c r="N142" s="83" t="str">
        <f t="shared" si="70"/>
        <v/>
      </c>
      <c r="O142" s="83" t="str">
        <f t="shared" si="70"/>
        <v/>
      </c>
      <c r="P142" s="83" t="str">
        <f t="shared" si="71"/>
        <v/>
      </c>
      <c r="Q142" s="83" t="str">
        <f t="shared" si="71"/>
        <v/>
      </c>
      <c r="R142" s="83" t="str">
        <f t="shared" si="71"/>
        <v/>
      </c>
      <c r="S142" s="83" t="str">
        <f t="shared" si="71"/>
        <v/>
      </c>
      <c r="T142" s="83" t="str">
        <f t="shared" si="71"/>
        <v/>
      </c>
      <c r="U142" s="83" t="str">
        <f t="shared" si="71"/>
        <v/>
      </c>
      <c r="V142" s="83" t="str">
        <f t="shared" si="71"/>
        <v/>
      </c>
      <c r="W142" s="83" t="str">
        <f t="shared" si="71"/>
        <v/>
      </c>
    </row>
    <row r="143" spans="1:23" x14ac:dyDescent="0.25">
      <c r="A143" s="68">
        <f t="shared" ca="1" si="64"/>
        <v>0.99908248192879012</v>
      </c>
      <c r="B143" s="82"/>
      <c r="C143" s="12">
        <f t="shared" si="65"/>
        <v>9.3410764813949534</v>
      </c>
      <c r="D143" s="82">
        <f t="shared" si="69"/>
        <v>8.1000000000000085</v>
      </c>
      <c r="E143" s="12">
        <f t="shared" si="66"/>
        <v>437.10750000000053</v>
      </c>
      <c r="F143" s="83">
        <f t="shared" si="70"/>
        <v>0.99908248192879012</v>
      </c>
      <c r="G143" s="83">
        <f t="shared" si="70"/>
        <v>0.9996355709741791</v>
      </c>
      <c r="H143" s="83">
        <f t="shared" si="70"/>
        <v>0.99980812600068303</v>
      </c>
      <c r="I143" s="83">
        <f t="shared" si="70"/>
        <v>0.99929450921769747</v>
      </c>
      <c r="J143" s="83">
        <f t="shared" si="70"/>
        <v>0.99944032240366354</v>
      </c>
      <c r="K143" s="83">
        <f t="shared" si="70"/>
        <v>0.99957804984294507</v>
      </c>
      <c r="L143" s="83">
        <f t="shared" si="70"/>
        <v>0.99973808186588942</v>
      </c>
      <c r="M143" s="83">
        <f t="shared" si="70"/>
        <v>0.99975516419931754</v>
      </c>
      <c r="N143" s="83" t="str">
        <f t="shared" si="70"/>
        <v/>
      </c>
      <c r="O143" s="83" t="str">
        <f t="shared" si="70"/>
        <v/>
      </c>
      <c r="P143" s="83" t="str">
        <f t="shared" si="71"/>
        <v/>
      </c>
      <c r="Q143" s="83" t="str">
        <f t="shared" si="71"/>
        <v/>
      </c>
      <c r="R143" s="83" t="str">
        <f t="shared" si="71"/>
        <v/>
      </c>
      <c r="S143" s="83" t="str">
        <f t="shared" si="71"/>
        <v/>
      </c>
      <c r="T143" s="83" t="str">
        <f t="shared" si="71"/>
        <v/>
      </c>
      <c r="U143" s="83" t="str">
        <f t="shared" si="71"/>
        <v/>
      </c>
      <c r="V143" s="83" t="str">
        <f t="shared" si="71"/>
        <v/>
      </c>
      <c r="W143" s="83" t="str">
        <f t="shared" si="71"/>
        <v/>
      </c>
    </row>
    <row r="144" spans="1:23" x14ac:dyDescent="0.25">
      <c r="A144" s="68">
        <f t="shared" ca="1" si="64"/>
        <v>0.99935693242555701</v>
      </c>
      <c r="B144" s="82"/>
      <c r="C144" s="12">
        <f t="shared" si="65"/>
        <v>9.495494131512519</v>
      </c>
      <c r="D144" s="82">
        <f t="shared" si="69"/>
        <v>8.2500000000000089</v>
      </c>
      <c r="E144" s="12">
        <f t="shared" si="66"/>
        <v>446.67075000000057</v>
      </c>
      <c r="F144" s="83">
        <f t="shared" si="70"/>
        <v>0.99935693242555701</v>
      </c>
      <c r="G144" s="83">
        <f t="shared" si="70"/>
        <v>0.99974460111807517</v>
      </c>
      <c r="H144" s="83">
        <f t="shared" si="70"/>
        <v>0.99986553447695725</v>
      </c>
      <c r="I144" s="83">
        <f t="shared" si="70"/>
        <v>0.99950555322996093</v>
      </c>
      <c r="J144" s="83">
        <f t="shared" si="70"/>
        <v>0.99960775569695548</v>
      </c>
      <c r="K144" s="83">
        <f t="shared" si="70"/>
        <v>0.99970428665564848</v>
      </c>
      <c r="L144" s="83">
        <f t="shared" si="70"/>
        <v>0.99981644554158611</v>
      </c>
      <c r="M144" s="83">
        <f t="shared" si="70"/>
        <v>0.99982841742488537</v>
      </c>
      <c r="N144" s="83" t="str">
        <f t="shared" si="70"/>
        <v/>
      </c>
      <c r="O144" s="83" t="str">
        <f t="shared" si="70"/>
        <v/>
      </c>
      <c r="P144" s="83" t="str">
        <f t="shared" si="71"/>
        <v/>
      </c>
      <c r="Q144" s="83" t="str">
        <f t="shared" si="71"/>
        <v/>
      </c>
      <c r="R144" s="83" t="str">
        <f t="shared" si="71"/>
        <v/>
      </c>
      <c r="S144" s="83" t="str">
        <f t="shared" si="71"/>
        <v/>
      </c>
      <c r="T144" s="83" t="str">
        <f t="shared" si="71"/>
        <v/>
      </c>
      <c r="U144" s="83" t="str">
        <f t="shared" si="71"/>
        <v/>
      </c>
      <c r="V144" s="83" t="str">
        <f t="shared" si="71"/>
        <v/>
      </c>
      <c r="W144" s="83" t="str">
        <f t="shared" si="71"/>
        <v/>
      </c>
    </row>
    <row r="145" spans="1:27" x14ac:dyDescent="0.25">
      <c r="A145" s="68">
        <f t="shared" ca="1" si="64"/>
        <v>0.99954920995109231</v>
      </c>
      <c r="B145" s="82"/>
      <c r="C145" s="12">
        <f t="shared" si="65"/>
        <v>9.6498181941578842</v>
      </c>
      <c r="D145" s="82">
        <f t="shared" si="69"/>
        <v>8.4000000000000092</v>
      </c>
      <c r="E145" s="12">
        <f t="shared" si="66"/>
        <v>456.23400000000061</v>
      </c>
      <c r="F145" s="83">
        <f t="shared" si="70"/>
        <v>0.99954920995109231</v>
      </c>
      <c r="G145" s="83">
        <f t="shared" si="70"/>
        <v>0.9998209758927743</v>
      </c>
      <c r="H145" s="83">
        <f t="shared" si="70"/>
        <v>0.99990574690594858</v>
      </c>
      <c r="I145" s="83">
        <f t="shared" si="70"/>
        <v>0.99965340076684206</v>
      </c>
      <c r="J145" s="83">
        <f t="shared" si="70"/>
        <v>0.99972504725578815</v>
      </c>
      <c r="K145" s="83">
        <f t="shared" si="70"/>
        <v>0.99979271586361829</v>
      </c>
      <c r="L145" s="83">
        <f t="shared" si="70"/>
        <v>0.99987133725991517</v>
      </c>
      <c r="M145" s="83">
        <f t="shared" si="70"/>
        <v>0.99987972918266443</v>
      </c>
      <c r="N145" s="83" t="str">
        <f t="shared" si="70"/>
        <v/>
      </c>
      <c r="O145" s="83" t="str">
        <f t="shared" si="70"/>
        <v/>
      </c>
      <c r="P145" s="83" t="str">
        <f t="shared" si="71"/>
        <v/>
      </c>
      <c r="Q145" s="83" t="str">
        <f t="shared" si="71"/>
        <v/>
      </c>
      <c r="R145" s="83" t="str">
        <f t="shared" si="71"/>
        <v/>
      </c>
      <c r="S145" s="83" t="str">
        <f t="shared" si="71"/>
        <v/>
      </c>
      <c r="T145" s="83" t="str">
        <f t="shared" si="71"/>
        <v/>
      </c>
      <c r="U145" s="83" t="str">
        <f t="shared" si="71"/>
        <v/>
      </c>
      <c r="V145" s="83" t="str">
        <f t="shared" si="71"/>
        <v/>
      </c>
      <c r="W145" s="83" t="str">
        <f t="shared" si="71"/>
        <v/>
      </c>
    </row>
    <row r="146" spans="1:27" x14ac:dyDescent="0.25">
      <c r="A146" s="68">
        <f t="shared" ca="1" si="64"/>
        <v>0.99968394022409013</v>
      </c>
      <c r="B146" s="82"/>
      <c r="C146" s="12">
        <f t="shared" si="65"/>
        <v>9.8040525524912123</v>
      </c>
      <c r="D146" s="82">
        <f t="shared" si="69"/>
        <v>8.5500000000000096</v>
      </c>
      <c r="E146" s="12">
        <f t="shared" si="66"/>
        <v>465.79725000000064</v>
      </c>
      <c r="F146" s="83">
        <f t="shared" si="70"/>
        <v>0.99968394022409013</v>
      </c>
      <c r="G146" s="83">
        <f t="shared" si="70"/>
        <v>0.99987448697994807</v>
      </c>
      <c r="H146" s="83">
        <f t="shared" si="70"/>
        <v>0.99993392040453566</v>
      </c>
      <c r="I146" s="83">
        <f t="shared" si="70"/>
        <v>0.99975699470331025</v>
      </c>
      <c r="J146" s="83">
        <f t="shared" si="70"/>
        <v>0.99980722906701969</v>
      </c>
      <c r="K146" s="83">
        <f t="shared" si="70"/>
        <v>0.99985467338296252</v>
      </c>
      <c r="L146" s="83">
        <f t="shared" si="70"/>
        <v>0.99990979579365202</v>
      </c>
      <c r="M146" s="83">
        <f t="shared" si="70"/>
        <v>0.99991567939553661</v>
      </c>
      <c r="N146" s="83" t="str">
        <f t="shared" si="70"/>
        <v/>
      </c>
      <c r="O146" s="83" t="str">
        <f t="shared" si="70"/>
        <v/>
      </c>
      <c r="P146" s="83" t="str">
        <f t="shared" si="71"/>
        <v/>
      </c>
      <c r="Q146" s="83" t="str">
        <f t="shared" si="71"/>
        <v/>
      </c>
      <c r="R146" s="83" t="str">
        <f t="shared" si="71"/>
        <v/>
      </c>
      <c r="S146" s="83" t="str">
        <f t="shared" si="71"/>
        <v/>
      </c>
      <c r="T146" s="83" t="str">
        <f t="shared" si="71"/>
        <v/>
      </c>
      <c r="U146" s="83" t="str">
        <f t="shared" si="71"/>
        <v/>
      </c>
      <c r="V146" s="83" t="str">
        <f t="shared" si="71"/>
        <v/>
      </c>
      <c r="W146" s="83" t="str">
        <f t="shared" si="71"/>
        <v/>
      </c>
    </row>
    <row r="147" spans="1:27" x14ac:dyDescent="0.25">
      <c r="D147" s="84"/>
      <c r="F147" s="82"/>
      <c r="G147" s="85"/>
      <c r="H147" s="85"/>
      <c r="I147" s="85"/>
      <c r="J147" s="85"/>
      <c r="K147" s="85"/>
      <c r="L147" s="85"/>
      <c r="U147" s="82"/>
    </row>
    <row r="148" spans="1:27" s="116" customFormat="1" x14ac:dyDescent="0.25">
      <c r="A148" s="114"/>
      <c r="B148" s="114"/>
      <c r="C148" s="114"/>
      <c r="D148" s="114"/>
      <c r="E148" s="115" t="str">
        <f t="shared" ref="E148:T159" si="72">IF(ISERROR(1/F39),"",IF(MIN(F39,1-F39)*2&lt;0.1,0.1,MIN(F39,1-F39)*2))</f>
        <v/>
      </c>
      <c r="F148" s="115" t="str">
        <f t="shared" si="72"/>
        <v/>
      </c>
      <c r="G148" s="115">
        <f t="shared" si="72"/>
        <v>0.1</v>
      </c>
      <c r="H148" s="115">
        <f t="shared" si="72"/>
        <v>0.1</v>
      </c>
      <c r="I148" s="115">
        <f t="shared" si="72"/>
        <v>0.1</v>
      </c>
      <c r="J148" s="115">
        <f t="shared" si="72"/>
        <v>0.1</v>
      </c>
      <c r="K148" s="115">
        <f t="shared" si="72"/>
        <v>0.10972479153988188</v>
      </c>
      <c r="L148" s="115">
        <f t="shared" si="72"/>
        <v>0.1</v>
      </c>
      <c r="M148" s="115" t="str">
        <f t="shared" si="72"/>
        <v/>
      </c>
      <c r="N148" s="115" t="str">
        <f t="shared" si="72"/>
        <v/>
      </c>
      <c r="O148" s="115" t="str">
        <f t="shared" si="72"/>
        <v/>
      </c>
      <c r="P148" s="115" t="str">
        <f t="shared" si="72"/>
        <v/>
      </c>
      <c r="Q148" s="115" t="str">
        <f t="shared" si="72"/>
        <v/>
      </c>
      <c r="R148" s="115" t="str">
        <f t="shared" si="72"/>
        <v/>
      </c>
      <c r="S148" s="115" t="str">
        <f t="shared" si="72"/>
        <v/>
      </c>
      <c r="T148" s="115" t="str">
        <f t="shared" si="72"/>
        <v/>
      </c>
      <c r="U148" s="115" t="str">
        <f t="shared" ref="U148:W159" si="73">IF(ISERROR(1/V39),"",IF(MIN(V39,1-V39)*2&lt;0.1,0.1,MIN(V39,1-V39)*2))</f>
        <v/>
      </c>
      <c r="V148" s="115" t="str">
        <f t="shared" si="73"/>
        <v/>
      </c>
      <c r="W148" s="115" t="str">
        <f t="shared" si="73"/>
        <v/>
      </c>
      <c r="X148" s="114"/>
      <c r="Y148" s="114"/>
      <c r="Z148" s="114"/>
      <c r="AA148" s="114"/>
    </row>
    <row r="149" spans="1:27" s="116" customFormat="1" x14ac:dyDescent="0.25">
      <c r="A149" s="114"/>
      <c r="B149" s="114"/>
      <c r="C149" s="114"/>
      <c r="D149" s="114"/>
      <c r="E149" s="115">
        <f t="shared" si="72"/>
        <v>0.1</v>
      </c>
      <c r="F149" s="115">
        <f t="shared" si="72"/>
        <v>0.1</v>
      </c>
      <c r="G149" s="115">
        <f t="shared" si="72"/>
        <v>0.22913716841927878</v>
      </c>
      <c r="H149" s="115">
        <f t="shared" si="72"/>
        <v>0.25459622356200379</v>
      </c>
      <c r="I149" s="115">
        <f t="shared" si="72"/>
        <v>0.14070664898761098</v>
      </c>
      <c r="J149" s="115">
        <f t="shared" si="72"/>
        <v>0.1</v>
      </c>
      <c r="K149" s="115">
        <f t="shared" si="72"/>
        <v>0.17346662728509826</v>
      </c>
      <c r="L149" s="115">
        <f t="shared" si="72"/>
        <v>0.25003681082847712</v>
      </c>
      <c r="M149" s="115" t="str">
        <f t="shared" si="72"/>
        <v/>
      </c>
      <c r="N149" s="115" t="str">
        <f t="shared" si="72"/>
        <v/>
      </c>
      <c r="O149" s="115" t="str">
        <f t="shared" si="72"/>
        <v/>
      </c>
      <c r="P149" s="115" t="str">
        <f t="shared" si="72"/>
        <v/>
      </c>
      <c r="Q149" s="115" t="str">
        <f t="shared" si="72"/>
        <v/>
      </c>
      <c r="R149" s="115" t="str">
        <f t="shared" si="72"/>
        <v/>
      </c>
      <c r="S149" s="115" t="str">
        <f t="shared" si="72"/>
        <v/>
      </c>
      <c r="T149" s="115" t="str">
        <f t="shared" si="72"/>
        <v/>
      </c>
      <c r="U149" s="115" t="str">
        <f t="shared" si="73"/>
        <v/>
      </c>
      <c r="V149" s="115" t="str">
        <f t="shared" si="73"/>
        <v/>
      </c>
      <c r="W149" s="115" t="str">
        <f t="shared" si="73"/>
        <v/>
      </c>
      <c r="X149" s="114"/>
      <c r="Y149" s="114"/>
      <c r="Z149" s="114"/>
      <c r="AA149" s="114"/>
    </row>
    <row r="150" spans="1:27" s="116" customFormat="1" x14ac:dyDescent="0.25">
      <c r="A150" s="114"/>
      <c r="B150" s="117"/>
      <c r="C150" s="117"/>
      <c r="D150" s="118"/>
      <c r="E150" s="115">
        <f t="shared" si="72"/>
        <v>0.1</v>
      </c>
      <c r="F150" s="115">
        <f t="shared" si="72"/>
        <v>0.10550180460557916</v>
      </c>
      <c r="G150" s="115">
        <f t="shared" si="72"/>
        <v>0.22147810345750352</v>
      </c>
      <c r="H150" s="115">
        <f t="shared" si="72"/>
        <v>0.22286725383404479</v>
      </c>
      <c r="I150" s="115">
        <f t="shared" si="72"/>
        <v>0.14951795714865695</v>
      </c>
      <c r="J150" s="115">
        <f t="shared" si="72"/>
        <v>0.11642501734130888</v>
      </c>
      <c r="K150" s="115">
        <f t="shared" si="72"/>
        <v>0.19985078586956895</v>
      </c>
      <c r="L150" s="115">
        <f t="shared" si="72"/>
        <v>0.30775772373949045</v>
      </c>
      <c r="M150" s="115" t="str">
        <f t="shared" si="72"/>
        <v/>
      </c>
      <c r="N150" s="115" t="str">
        <f t="shared" si="72"/>
        <v/>
      </c>
      <c r="O150" s="115" t="str">
        <f t="shared" si="72"/>
        <v/>
      </c>
      <c r="P150" s="115" t="str">
        <f t="shared" si="72"/>
        <v/>
      </c>
      <c r="Q150" s="115" t="str">
        <f t="shared" si="72"/>
        <v/>
      </c>
      <c r="R150" s="115" t="str">
        <f t="shared" si="72"/>
        <v/>
      </c>
      <c r="S150" s="115" t="str">
        <f t="shared" si="72"/>
        <v/>
      </c>
      <c r="T150" s="115" t="str">
        <f t="shared" si="72"/>
        <v/>
      </c>
      <c r="U150" s="115" t="str">
        <f t="shared" si="73"/>
        <v/>
      </c>
      <c r="V150" s="115" t="str">
        <f t="shared" si="73"/>
        <v/>
      </c>
      <c r="W150" s="115" t="str">
        <f t="shared" si="73"/>
        <v/>
      </c>
    </row>
    <row r="151" spans="1:27" s="116" customFormat="1" x14ac:dyDescent="0.25">
      <c r="A151" s="114"/>
      <c r="B151" s="117"/>
      <c r="C151" s="117"/>
      <c r="D151" s="118"/>
      <c r="E151" s="115">
        <f t="shared" si="72"/>
        <v>0.1</v>
      </c>
      <c r="F151" s="115">
        <f t="shared" si="72"/>
        <v>0.10345256981440322</v>
      </c>
      <c r="G151" s="115">
        <f t="shared" si="72"/>
        <v>0.57928676859375894</v>
      </c>
      <c r="H151" s="115">
        <f t="shared" si="72"/>
        <v>0.24751320565443857</v>
      </c>
      <c r="I151" s="115">
        <f t="shared" si="72"/>
        <v>0.14564909435057441</v>
      </c>
      <c r="J151" s="115">
        <f t="shared" si="72"/>
        <v>0.1238349337361791</v>
      </c>
      <c r="K151" s="115">
        <f t="shared" si="72"/>
        <v>0.33877424341316315</v>
      </c>
      <c r="L151" s="115">
        <f t="shared" si="72"/>
        <v>0.32199951301442298</v>
      </c>
      <c r="M151" s="115" t="str">
        <f t="shared" si="72"/>
        <v/>
      </c>
      <c r="N151" s="115" t="str">
        <f t="shared" si="72"/>
        <v/>
      </c>
      <c r="O151" s="115" t="str">
        <f t="shared" si="72"/>
        <v/>
      </c>
      <c r="P151" s="115" t="str">
        <f t="shared" si="72"/>
        <v/>
      </c>
      <c r="Q151" s="115" t="str">
        <f t="shared" si="72"/>
        <v/>
      </c>
      <c r="R151" s="115" t="str">
        <f t="shared" si="72"/>
        <v/>
      </c>
      <c r="S151" s="115" t="str">
        <f t="shared" si="72"/>
        <v/>
      </c>
      <c r="T151" s="115" t="str">
        <f t="shared" si="72"/>
        <v/>
      </c>
      <c r="U151" s="115" t="str">
        <f t="shared" si="73"/>
        <v/>
      </c>
      <c r="V151" s="115" t="str">
        <f t="shared" si="73"/>
        <v/>
      </c>
      <c r="W151" s="115" t="str">
        <f t="shared" si="73"/>
        <v/>
      </c>
    </row>
    <row r="152" spans="1:27" s="116" customFormat="1" x14ac:dyDescent="0.25">
      <c r="A152" s="114"/>
      <c r="B152" s="117"/>
      <c r="C152" s="117"/>
      <c r="D152" s="118"/>
      <c r="E152" s="115">
        <f t="shared" si="72"/>
        <v>0.1</v>
      </c>
      <c r="F152" s="115">
        <f t="shared" si="72"/>
        <v>0.53402956316220451</v>
      </c>
      <c r="G152" s="115">
        <f t="shared" si="72"/>
        <v>0.75312356740397091</v>
      </c>
      <c r="H152" s="115">
        <f t="shared" si="72"/>
        <v>0.56966273254714073</v>
      </c>
      <c r="I152" s="115">
        <f t="shared" si="72"/>
        <v>0.21980141922851118</v>
      </c>
      <c r="J152" s="115">
        <f t="shared" si="72"/>
        <v>0.29145084420136225</v>
      </c>
      <c r="K152" s="115">
        <f t="shared" si="72"/>
        <v>0.50655652871302426</v>
      </c>
      <c r="L152" s="115">
        <f t="shared" si="72"/>
        <v>0.56446348657212353</v>
      </c>
      <c r="M152" s="115" t="str">
        <f t="shared" si="72"/>
        <v/>
      </c>
      <c r="N152" s="115" t="str">
        <f t="shared" si="72"/>
        <v/>
      </c>
      <c r="O152" s="115" t="str">
        <f t="shared" si="72"/>
        <v/>
      </c>
      <c r="P152" s="115" t="str">
        <f t="shared" si="72"/>
        <v/>
      </c>
      <c r="Q152" s="115" t="str">
        <f t="shared" si="72"/>
        <v/>
      </c>
      <c r="R152" s="115" t="str">
        <f t="shared" si="72"/>
        <v/>
      </c>
      <c r="S152" s="115" t="str">
        <f t="shared" si="72"/>
        <v/>
      </c>
      <c r="T152" s="115" t="str">
        <f t="shared" si="72"/>
        <v/>
      </c>
      <c r="U152" s="115" t="str">
        <f t="shared" si="73"/>
        <v/>
      </c>
      <c r="V152" s="115" t="str">
        <f t="shared" si="73"/>
        <v/>
      </c>
      <c r="W152" s="115" t="str">
        <f t="shared" si="73"/>
        <v/>
      </c>
    </row>
    <row r="153" spans="1:27" s="116" customFormat="1" x14ac:dyDescent="0.25">
      <c r="A153" s="114"/>
      <c r="B153" s="117"/>
      <c r="C153" s="117"/>
      <c r="D153" s="118"/>
      <c r="E153" s="115">
        <f t="shared" si="72"/>
        <v>0.80216450851966425</v>
      </c>
      <c r="F153" s="115">
        <f t="shared" si="72"/>
        <v>0.83259049071895608</v>
      </c>
      <c r="G153" s="115">
        <f t="shared" si="72"/>
        <v>0.65900688392772677</v>
      </c>
      <c r="H153" s="115">
        <f t="shared" si="72"/>
        <v>0.68296001762446745</v>
      </c>
      <c r="I153" s="115">
        <f t="shared" si="72"/>
        <v>0.81989919759641494</v>
      </c>
      <c r="J153" s="115">
        <f t="shared" si="72"/>
        <v>0.91502631326682093</v>
      </c>
      <c r="K153" s="115">
        <f t="shared" si="72"/>
        <v>0.62325230779845664</v>
      </c>
      <c r="L153" s="115">
        <f t="shared" si="72"/>
        <v>0.57708307555406146</v>
      </c>
      <c r="M153" s="115" t="str">
        <f t="shared" si="72"/>
        <v/>
      </c>
      <c r="N153" s="115" t="str">
        <f t="shared" si="72"/>
        <v/>
      </c>
      <c r="O153" s="115" t="str">
        <f t="shared" si="72"/>
        <v/>
      </c>
      <c r="P153" s="115" t="str">
        <f t="shared" si="72"/>
        <v/>
      </c>
      <c r="Q153" s="115" t="str">
        <f t="shared" si="72"/>
        <v/>
      </c>
      <c r="R153" s="115" t="str">
        <f t="shared" si="72"/>
        <v/>
      </c>
      <c r="S153" s="115" t="str">
        <f t="shared" si="72"/>
        <v/>
      </c>
      <c r="T153" s="115" t="str">
        <f t="shared" si="72"/>
        <v/>
      </c>
      <c r="U153" s="115" t="str">
        <f t="shared" si="73"/>
        <v/>
      </c>
      <c r="V153" s="115" t="str">
        <f t="shared" si="73"/>
        <v/>
      </c>
      <c r="W153" s="115" t="str">
        <f t="shared" si="73"/>
        <v/>
      </c>
    </row>
    <row r="154" spans="1:27" s="116" customFormat="1" x14ac:dyDescent="0.25">
      <c r="A154" s="114"/>
      <c r="B154" s="117"/>
      <c r="C154" s="117"/>
      <c r="D154" s="118"/>
      <c r="E154" s="115">
        <f t="shared" si="72"/>
        <v>0.90583361591912004</v>
      </c>
      <c r="F154" s="115">
        <f t="shared" si="72"/>
        <v>0.41250617729302941</v>
      </c>
      <c r="G154" s="115">
        <f t="shared" si="72"/>
        <v>0.70562312271592553</v>
      </c>
      <c r="H154" s="115">
        <f t="shared" si="72"/>
        <v>0.8713992524016646</v>
      </c>
      <c r="I154" s="115">
        <f t="shared" si="72"/>
        <v>0.967394768607301</v>
      </c>
      <c r="J154" s="115">
        <f t="shared" si="72"/>
        <v>0.7745796027569678</v>
      </c>
      <c r="K154" s="115">
        <f t="shared" si="72"/>
        <v>0.52031948901063019</v>
      </c>
      <c r="L154" s="115">
        <f t="shared" si="72"/>
        <v>0.5436861494266465</v>
      </c>
      <c r="M154" s="115" t="str">
        <f t="shared" si="72"/>
        <v/>
      </c>
      <c r="N154" s="115" t="str">
        <f t="shared" si="72"/>
        <v/>
      </c>
      <c r="O154" s="115" t="str">
        <f t="shared" si="72"/>
        <v/>
      </c>
      <c r="P154" s="115" t="str">
        <f t="shared" si="72"/>
        <v/>
      </c>
      <c r="Q154" s="115" t="str">
        <f t="shared" si="72"/>
        <v/>
      </c>
      <c r="R154" s="115" t="str">
        <f t="shared" si="72"/>
        <v/>
      </c>
      <c r="S154" s="115" t="str">
        <f t="shared" si="72"/>
        <v/>
      </c>
      <c r="T154" s="115" t="str">
        <f t="shared" si="72"/>
        <v/>
      </c>
      <c r="U154" s="115" t="str">
        <f t="shared" si="73"/>
        <v/>
      </c>
      <c r="V154" s="115" t="str">
        <f t="shared" si="73"/>
        <v/>
      </c>
      <c r="W154" s="115" t="str">
        <f t="shared" si="73"/>
        <v/>
      </c>
    </row>
    <row r="155" spans="1:27" s="116" customFormat="1" x14ac:dyDescent="0.25">
      <c r="A155" s="114"/>
      <c r="B155" s="117"/>
      <c r="C155" s="117"/>
      <c r="D155" s="118"/>
      <c r="E155" s="115">
        <f t="shared" si="72"/>
        <v>0.60001945397834255</v>
      </c>
      <c r="F155" s="115">
        <f t="shared" si="72"/>
        <v>0.30377446037200451</v>
      </c>
      <c r="G155" s="115">
        <f t="shared" si="72"/>
        <v>0.34342252722603916</v>
      </c>
      <c r="H155" s="115">
        <f t="shared" si="72"/>
        <v>0.52560914793507041</v>
      </c>
      <c r="I155" s="115">
        <f t="shared" si="72"/>
        <v>0.44221046997574587</v>
      </c>
      <c r="J155" s="115">
        <f t="shared" si="72"/>
        <v>0.33330716323819098</v>
      </c>
      <c r="K155" s="115">
        <f t="shared" si="72"/>
        <v>0.22482434561547593</v>
      </c>
      <c r="L155" s="115">
        <f t="shared" si="72"/>
        <v>0.26107523697479773</v>
      </c>
      <c r="M155" s="115" t="str">
        <f t="shared" si="72"/>
        <v/>
      </c>
      <c r="N155" s="115" t="str">
        <f t="shared" si="72"/>
        <v/>
      </c>
      <c r="O155" s="115" t="str">
        <f t="shared" si="72"/>
        <v/>
      </c>
      <c r="P155" s="115" t="str">
        <f t="shared" si="72"/>
        <v/>
      </c>
      <c r="Q155" s="115" t="str">
        <f t="shared" si="72"/>
        <v/>
      </c>
      <c r="R155" s="115" t="str">
        <f t="shared" si="72"/>
        <v/>
      </c>
      <c r="S155" s="115" t="str">
        <f t="shared" si="72"/>
        <v/>
      </c>
      <c r="T155" s="115" t="str">
        <f t="shared" si="72"/>
        <v/>
      </c>
      <c r="U155" s="115" t="str">
        <f t="shared" si="73"/>
        <v/>
      </c>
      <c r="V155" s="115" t="str">
        <f t="shared" si="73"/>
        <v/>
      </c>
      <c r="W155" s="115" t="str">
        <f t="shared" si="73"/>
        <v/>
      </c>
    </row>
    <row r="156" spans="1:27" s="116" customFormat="1" x14ac:dyDescent="0.25">
      <c r="A156" s="114"/>
      <c r="B156" s="117"/>
      <c r="C156" s="117"/>
      <c r="D156" s="118"/>
      <c r="E156" s="115">
        <f t="shared" si="72"/>
        <v>0.95381312191410039</v>
      </c>
      <c r="F156" s="115">
        <f t="shared" si="72"/>
        <v>0.636192935915598</v>
      </c>
      <c r="G156" s="115" t="str">
        <f t="shared" si="72"/>
        <v/>
      </c>
      <c r="H156" s="115" t="str">
        <f t="shared" si="72"/>
        <v/>
      </c>
      <c r="I156" s="115">
        <f t="shared" si="72"/>
        <v>0.37212749897572417</v>
      </c>
      <c r="J156" s="115">
        <f t="shared" si="72"/>
        <v>0.13551982619000658</v>
      </c>
      <c r="K156" s="115">
        <f t="shared" si="72"/>
        <v>0.1</v>
      </c>
      <c r="L156" s="115">
        <f t="shared" si="72"/>
        <v>0.1</v>
      </c>
      <c r="M156" s="115" t="str">
        <f t="shared" si="72"/>
        <v/>
      </c>
      <c r="N156" s="115" t="str">
        <f t="shared" si="72"/>
        <v/>
      </c>
      <c r="O156" s="115" t="str">
        <f t="shared" si="72"/>
        <v/>
      </c>
      <c r="P156" s="115" t="str">
        <f t="shared" si="72"/>
        <v/>
      </c>
      <c r="Q156" s="115" t="str">
        <f t="shared" si="72"/>
        <v/>
      </c>
      <c r="R156" s="115" t="str">
        <f t="shared" si="72"/>
        <v/>
      </c>
      <c r="S156" s="115" t="str">
        <f t="shared" si="72"/>
        <v/>
      </c>
      <c r="T156" s="115" t="str">
        <f t="shared" si="72"/>
        <v/>
      </c>
      <c r="U156" s="115" t="str">
        <f t="shared" si="73"/>
        <v/>
      </c>
      <c r="V156" s="115" t="str">
        <f t="shared" si="73"/>
        <v/>
      </c>
      <c r="W156" s="115" t="str">
        <f t="shared" si="73"/>
        <v/>
      </c>
    </row>
    <row r="157" spans="1:27" s="116" customFormat="1" x14ac:dyDescent="0.25">
      <c r="A157" s="114"/>
      <c r="B157" s="117"/>
      <c r="C157" s="117"/>
      <c r="D157" s="118"/>
      <c r="E157" s="115">
        <f t="shared" si="72"/>
        <v>0.26587685636629277</v>
      </c>
      <c r="F157" s="115">
        <f t="shared" si="72"/>
        <v>0.14230370065159992</v>
      </c>
      <c r="G157" s="115">
        <f t="shared" si="72"/>
        <v>0.1</v>
      </c>
      <c r="H157" s="115">
        <f t="shared" si="72"/>
        <v>0.21411857146501223</v>
      </c>
      <c r="I157" s="115">
        <f t="shared" si="72"/>
        <v>0.1</v>
      </c>
      <c r="J157" s="115">
        <f t="shared" si="72"/>
        <v>0.1</v>
      </c>
      <c r="K157" s="115">
        <f t="shared" si="72"/>
        <v>0.1</v>
      </c>
      <c r="L157" s="115">
        <f t="shared" si="72"/>
        <v>0.1</v>
      </c>
      <c r="M157" s="115" t="str">
        <f t="shared" si="72"/>
        <v/>
      </c>
      <c r="N157" s="115" t="str">
        <f t="shared" si="72"/>
        <v/>
      </c>
      <c r="O157" s="115" t="str">
        <f t="shared" si="72"/>
        <v/>
      </c>
      <c r="P157" s="115" t="str">
        <f t="shared" si="72"/>
        <v/>
      </c>
      <c r="Q157" s="115" t="str">
        <f t="shared" si="72"/>
        <v/>
      </c>
      <c r="R157" s="115" t="str">
        <f t="shared" si="72"/>
        <v/>
      </c>
      <c r="S157" s="115" t="str">
        <f t="shared" si="72"/>
        <v/>
      </c>
      <c r="T157" s="115" t="str">
        <f t="shared" si="72"/>
        <v/>
      </c>
      <c r="U157" s="115" t="str">
        <f t="shared" si="73"/>
        <v/>
      </c>
      <c r="V157" s="115" t="str">
        <f t="shared" si="73"/>
        <v/>
      </c>
      <c r="W157" s="115" t="str">
        <f t="shared" si="73"/>
        <v/>
      </c>
    </row>
    <row r="158" spans="1:27" s="116" customFormat="1" x14ac:dyDescent="0.25">
      <c r="A158" s="114"/>
      <c r="B158" s="117"/>
      <c r="C158" s="117"/>
      <c r="D158" s="118"/>
      <c r="E158" s="115">
        <f t="shared" si="72"/>
        <v>0.59627619085912542</v>
      </c>
      <c r="F158" s="115">
        <f t="shared" si="72"/>
        <v>0.30498320478685415</v>
      </c>
      <c r="G158" s="115">
        <f t="shared" si="72"/>
        <v>0.1</v>
      </c>
      <c r="H158" s="115">
        <f t="shared" si="72"/>
        <v>0.1</v>
      </c>
      <c r="I158" s="115">
        <f t="shared" si="72"/>
        <v>0.1</v>
      </c>
      <c r="J158" s="115">
        <f t="shared" si="72"/>
        <v>0.1</v>
      </c>
      <c r="K158" s="115">
        <f t="shared" si="72"/>
        <v>0.1</v>
      </c>
      <c r="L158" s="115">
        <f t="shared" si="72"/>
        <v>0.1</v>
      </c>
      <c r="M158" s="115" t="str">
        <f t="shared" si="72"/>
        <v/>
      </c>
      <c r="N158" s="115" t="str">
        <f t="shared" si="72"/>
        <v/>
      </c>
      <c r="O158" s="115" t="str">
        <f t="shared" si="72"/>
        <v/>
      </c>
      <c r="P158" s="115" t="str">
        <f t="shared" si="72"/>
        <v/>
      </c>
      <c r="Q158" s="115" t="str">
        <f t="shared" si="72"/>
        <v/>
      </c>
      <c r="R158" s="115" t="str">
        <f t="shared" si="72"/>
        <v/>
      </c>
      <c r="S158" s="115" t="str">
        <f t="shared" si="72"/>
        <v/>
      </c>
      <c r="T158" s="115" t="str">
        <f t="shared" si="72"/>
        <v/>
      </c>
      <c r="U158" s="115" t="str">
        <f t="shared" si="73"/>
        <v/>
      </c>
      <c r="V158" s="115" t="str">
        <f t="shared" si="73"/>
        <v/>
      </c>
      <c r="W158" s="115" t="str">
        <f t="shared" si="73"/>
        <v/>
      </c>
    </row>
    <row r="159" spans="1:27" s="116" customFormat="1" x14ac:dyDescent="0.25">
      <c r="A159" s="114"/>
      <c r="B159" s="117"/>
      <c r="C159" s="117"/>
      <c r="D159" s="118"/>
      <c r="E159" s="115">
        <f t="shared" si="72"/>
        <v>0.44726051624837271</v>
      </c>
      <c r="F159" s="115">
        <f t="shared" si="72"/>
        <v>0.27389422775723338</v>
      </c>
      <c r="G159" s="115">
        <f t="shared" si="72"/>
        <v>0.1</v>
      </c>
      <c r="H159" s="115">
        <f t="shared" si="72"/>
        <v>0.11454467973319593</v>
      </c>
      <c r="I159" s="115">
        <f t="shared" si="72"/>
        <v>0.15337057380308372</v>
      </c>
      <c r="J159" s="115">
        <f t="shared" si="72"/>
        <v>0.12441106159916537</v>
      </c>
      <c r="K159" s="115">
        <f t="shared" si="72"/>
        <v>0.1</v>
      </c>
      <c r="L159" s="115">
        <f t="shared" si="72"/>
        <v>0.1</v>
      </c>
      <c r="M159" s="115" t="str">
        <f t="shared" si="72"/>
        <v/>
      </c>
      <c r="N159" s="115" t="str">
        <f t="shared" si="72"/>
        <v/>
      </c>
      <c r="O159" s="115" t="str">
        <f t="shared" si="72"/>
        <v/>
      </c>
      <c r="P159" s="115" t="str">
        <f t="shared" si="72"/>
        <v/>
      </c>
      <c r="Q159" s="115" t="str">
        <f t="shared" si="72"/>
        <v/>
      </c>
      <c r="R159" s="115" t="str">
        <f t="shared" si="72"/>
        <v/>
      </c>
      <c r="S159" s="115" t="str">
        <f t="shared" si="72"/>
        <v/>
      </c>
      <c r="T159" s="115" t="str">
        <f t="shared" si="72"/>
        <v/>
      </c>
      <c r="U159" s="115" t="str">
        <f t="shared" si="73"/>
        <v/>
      </c>
      <c r="V159" s="115" t="str">
        <f t="shared" si="73"/>
        <v/>
      </c>
      <c r="W159" s="115" t="str">
        <f t="shared" si="73"/>
        <v/>
      </c>
    </row>
    <row r="160" spans="1:27" s="116" customFormat="1" x14ac:dyDescent="0.25">
      <c r="A160" s="114"/>
      <c r="B160" s="117"/>
      <c r="C160" s="117"/>
      <c r="D160" s="118"/>
      <c r="E160" s="115" t="str">
        <f t="shared" ref="E160:T167" si="74">IF(ISERROR(1/F53),"",IF(MIN(F53,1-F53)*2&lt;0.1,0.1,MIN(F53,1-F53)*2))</f>
        <v/>
      </c>
      <c r="F160" s="115" t="str">
        <f t="shared" si="74"/>
        <v/>
      </c>
      <c r="G160" s="115" t="str">
        <f t="shared" si="74"/>
        <v/>
      </c>
      <c r="H160" s="115" t="str">
        <f t="shared" si="74"/>
        <v/>
      </c>
      <c r="I160" s="115" t="str">
        <f t="shared" si="74"/>
        <v/>
      </c>
      <c r="J160" s="115" t="str">
        <f t="shared" si="74"/>
        <v/>
      </c>
      <c r="K160" s="115" t="str">
        <f t="shared" si="74"/>
        <v/>
      </c>
      <c r="L160" s="115" t="str">
        <f t="shared" si="74"/>
        <v/>
      </c>
      <c r="M160" s="115" t="str">
        <f t="shared" si="74"/>
        <v/>
      </c>
      <c r="N160" s="115" t="str">
        <f t="shared" si="74"/>
        <v/>
      </c>
      <c r="O160" s="115" t="str">
        <f t="shared" si="74"/>
        <v/>
      </c>
      <c r="P160" s="115" t="str">
        <f t="shared" si="74"/>
        <v/>
      </c>
      <c r="Q160" s="115" t="str">
        <f t="shared" si="74"/>
        <v/>
      </c>
      <c r="R160" s="115" t="str">
        <f t="shared" si="74"/>
        <v/>
      </c>
      <c r="S160" s="115" t="str">
        <f t="shared" si="74"/>
        <v/>
      </c>
      <c r="T160" s="115" t="str">
        <f t="shared" si="74"/>
        <v/>
      </c>
      <c r="U160" s="115" t="str">
        <f t="shared" ref="U160:W167" si="75">IF(ISERROR(1/V53),"",IF(MIN(V53,1-V53)*2&lt;0.1,0.1,MIN(V53,1-V53)*2))</f>
        <v/>
      </c>
      <c r="V160" s="115" t="str">
        <f t="shared" si="75"/>
        <v/>
      </c>
      <c r="W160" s="115" t="str">
        <f t="shared" si="75"/>
        <v/>
      </c>
    </row>
    <row r="161" spans="1:23" s="116" customFormat="1" x14ac:dyDescent="0.25">
      <c r="A161" s="114"/>
      <c r="B161" s="117"/>
      <c r="C161" s="117"/>
      <c r="D161" s="118"/>
      <c r="E161" s="115" t="str">
        <f t="shared" si="74"/>
        <v/>
      </c>
      <c r="F161" s="115" t="str">
        <f t="shared" si="74"/>
        <v/>
      </c>
      <c r="G161" s="115" t="str">
        <f t="shared" si="74"/>
        <v/>
      </c>
      <c r="H161" s="115" t="str">
        <f t="shared" si="74"/>
        <v/>
      </c>
      <c r="I161" s="115" t="str">
        <f t="shared" si="74"/>
        <v/>
      </c>
      <c r="J161" s="115" t="str">
        <f t="shared" si="74"/>
        <v/>
      </c>
      <c r="K161" s="115" t="str">
        <f t="shared" si="74"/>
        <v/>
      </c>
      <c r="L161" s="115" t="str">
        <f t="shared" si="74"/>
        <v/>
      </c>
      <c r="M161" s="115" t="str">
        <f t="shared" si="74"/>
        <v/>
      </c>
      <c r="N161" s="115" t="str">
        <f t="shared" si="74"/>
        <v/>
      </c>
      <c r="O161" s="115" t="str">
        <f t="shared" si="74"/>
        <v/>
      </c>
      <c r="P161" s="115" t="str">
        <f t="shared" si="74"/>
        <v/>
      </c>
      <c r="Q161" s="115" t="str">
        <f t="shared" si="74"/>
        <v/>
      </c>
      <c r="R161" s="115" t="str">
        <f t="shared" si="74"/>
        <v/>
      </c>
      <c r="S161" s="115" t="str">
        <f t="shared" si="74"/>
        <v/>
      </c>
      <c r="T161" s="115" t="str">
        <f t="shared" si="74"/>
        <v/>
      </c>
      <c r="U161" s="115" t="str">
        <f t="shared" si="75"/>
        <v/>
      </c>
      <c r="V161" s="115" t="str">
        <f t="shared" si="75"/>
        <v/>
      </c>
      <c r="W161" s="115" t="str">
        <f t="shared" si="75"/>
        <v/>
      </c>
    </row>
    <row r="162" spans="1:23" s="116" customFormat="1" x14ac:dyDescent="0.25">
      <c r="A162" s="114"/>
      <c r="B162" s="117"/>
      <c r="C162" s="117"/>
      <c r="D162" s="118"/>
      <c r="E162" s="115" t="str">
        <f t="shared" si="74"/>
        <v/>
      </c>
      <c r="F162" s="115" t="str">
        <f t="shared" si="74"/>
        <v/>
      </c>
      <c r="G162" s="115" t="str">
        <f t="shared" si="74"/>
        <v/>
      </c>
      <c r="H162" s="115" t="str">
        <f t="shared" si="74"/>
        <v/>
      </c>
      <c r="I162" s="115" t="str">
        <f t="shared" si="74"/>
        <v/>
      </c>
      <c r="J162" s="115" t="str">
        <f t="shared" si="74"/>
        <v/>
      </c>
      <c r="K162" s="115" t="str">
        <f t="shared" si="74"/>
        <v/>
      </c>
      <c r="L162" s="115" t="str">
        <f t="shared" si="74"/>
        <v/>
      </c>
      <c r="M162" s="115" t="str">
        <f t="shared" si="74"/>
        <v/>
      </c>
      <c r="N162" s="115" t="str">
        <f t="shared" si="74"/>
        <v/>
      </c>
      <c r="O162" s="115" t="str">
        <f t="shared" si="74"/>
        <v/>
      </c>
      <c r="P162" s="115" t="str">
        <f t="shared" si="74"/>
        <v/>
      </c>
      <c r="Q162" s="115" t="str">
        <f t="shared" si="74"/>
        <v/>
      </c>
      <c r="R162" s="115" t="str">
        <f t="shared" si="74"/>
        <v/>
      </c>
      <c r="S162" s="115" t="str">
        <f t="shared" si="74"/>
        <v/>
      </c>
      <c r="T162" s="115" t="str">
        <f t="shared" si="74"/>
        <v/>
      </c>
      <c r="U162" s="115" t="str">
        <f t="shared" si="75"/>
        <v/>
      </c>
      <c r="V162" s="115" t="str">
        <f t="shared" si="75"/>
        <v/>
      </c>
      <c r="W162" s="115" t="str">
        <f t="shared" si="75"/>
        <v/>
      </c>
    </row>
    <row r="163" spans="1:23" s="116" customFormat="1" x14ac:dyDescent="0.25">
      <c r="A163" s="114"/>
      <c r="B163" s="117"/>
      <c r="C163" s="117"/>
      <c r="D163" s="118"/>
      <c r="E163" s="115" t="str">
        <f t="shared" si="74"/>
        <v/>
      </c>
      <c r="F163" s="115" t="str">
        <f t="shared" si="74"/>
        <v/>
      </c>
      <c r="G163" s="115" t="str">
        <f t="shared" si="74"/>
        <v/>
      </c>
      <c r="H163" s="115" t="str">
        <f t="shared" si="74"/>
        <v/>
      </c>
      <c r="I163" s="115" t="str">
        <f t="shared" si="74"/>
        <v/>
      </c>
      <c r="J163" s="115" t="str">
        <f t="shared" si="74"/>
        <v/>
      </c>
      <c r="K163" s="115" t="str">
        <f t="shared" si="74"/>
        <v/>
      </c>
      <c r="L163" s="115" t="str">
        <f t="shared" si="74"/>
        <v/>
      </c>
      <c r="M163" s="115" t="str">
        <f t="shared" si="74"/>
        <v/>
      </c>
      <c r="N163" s="115" t="str">
        <f t="shared" si="74"/>
        <v/>
      </c>
      <c r="O163" s="115" t="str">
        <f t="shared" si="74"/>
        <v/>
      </c>
      <c r="P163" s="115" t="str">
        <f t="shared" si="74"/>
        <v/>
      </c>
      <c r="Q163" s="115" t="str">
        <f t="shared" si="74"/>
        <v/>
      </c>
      <c r="R163" s="115" t="str">
        <f t="shared" si="74"/>
        <v/>
      </c>
      <c r="S163" s="115" t="str">
        <f t="shared" si="74"/>
        <v/>
      </c>
      <c r="T163" s="115" t="str">
        <f t="shared" si="74"/>
        <v/>
      </c>
      <c r="U163" s="115" t="str">
        <f t="shared" si="75"/>
        <v/>
      </c>
      <c r="V163" s="115" t="str">
        <f t="shared" si="75"/>
        <v/>
      </c>
      <c r="W163" s="115" t="str">
        <f t="shared" si="75"/>
        <v/>
      </c>
    </row>
    <row r="164" spans="1:23" s="116" customFormat="1" x14ac:dyDescent="0.25">
      <c r="A164" s="114"/>
      <c r="B164" s="117"/>
      <c r="C164" s="117"/>
      <c r="D164" s="118"/>
      <c r="E164" s="115" t="str">
        <f t="shared" si="74"/>
        <v/>
      </c>
      <c r="F164" s="115" t="str">
        <f t="shared" si="74"/>
        <v/>
      </c>
      <c r="G164" s="115" t="str">
        <f t="shared" si="74"/>
        <v/>
      </c>
      <c r="H164" s="115" t="str">
        <f t="shared" si="74"/>
        <v/>
      </c>
      <c r="I164" s="115" t="str">
        <f t="shared" si="74"/>
        <v/>
      </c>
      <c r="J164" s="115" t="str">
        <f t="shared" si="74"/>
        <v/>
      </c>
      <c r="K164" s="115" t="str">
        <f t="shared" si="74"/>
        <v/>
      </c>
      <c r="L164" s="115" t="str">
        <f t="shared" si="74"/>
        <v/>
      </c>
      <c r="M164" s="115" t="str">
        <f t="shared" si="74"/>
        <v/>
      </c>
      <c r="N164" s="115" t="str">
        <f t="shared" si="74"/>
        <v/>
      </c>
      <c r="O164" s="115" t="str">
        <f t="shared" si="74"/>
        <v/>
      </c>
      <c r="P164" s="115" t="str">
        <f t="shared" si="74"/>
        <v/>
      </c>
      <c r="Q164" s="115" t="str">
        <f t="shared" si="74"/>
        <v/>
      </c>
      <c r="R164" s="115" t="str">
        <f t="shared" si="74"/>
        <v/>
      </c>
      <c r="S164" s="115" t="str">
        <f t="shared" si="74"/>
        <v/>
      </c>
      <c r="T164" s="115" t="str">
        <f t="shared" si="74"/>
        <v/>
      </c>
      <c r="U164" s="115" t="str">
        <f t="shared" si="75"/>
        <v/>
      </c>
      <c r="V164" s="115" t="str">
        <f t="shared" si="75"/>
        <v/>
      </c>
      <c r="W164" s="115" t="str">
        <f t="shared" si="75"/>
        <v/>
      </c>
    </row>
    <row r="165" spans="1:23" s="116" customFormat="1" x14ac:dyDescent="0.25">
      <c r="A165" s="114"/>
      <c r="B165" s="117"/>
      <c r="C165" s="117"/>
      <c r="D165" s="118"/>
      <c r="E165" s="115" t="str">
        <f t="shared" si="74"/>
        <v/>
      </c>
      <c r="F165" s="115" t="str">
        <f t="shared" si="74"/>
        <v/>
      </c>
      <c r="G165" s="115" t="str">
        <f t="shared" si="74"/>
        <v/>
      </c>
      <c r="H165" s="115" t="str">
        <f t="shared" si="74"/>
        <v/>
      </c>
      <c r="I165" s="115" t="str">
        <f t="shared" si="74"/>
        <v/>
      </c>
      <c r="J165" s="115" t="str">
        <f t="shared" si="74"/>
        <v/>
      </c>
      <c r="K165" s="115" t="str">
        <f t="shared" si="74"/>
        <v/>
      </c>
      <c r="L165" s="115" t="str">
        <f t="shared" si="74"/>
        <v/>
      </c>
      <c r="M165" s="115" t="str">
        <f t="shared" si="74"/>
        <v/>
      </c>
      <c r="N165" s="115" t="str">
        <f t="shared" si="74"/>
        <v/>
      </c>
      <c r="O165" s="115" t="str">
        <f t="shared" si="74"/>
        <v/>
      </c>
      <c r="P165" s="115" t="str">
        <f t="shared" si="74"/>
        <v/>
      </c>
      <c r="Q165" s="115" t="str">
        <f t="shared" si="74"/>
        <v/>
      </c>
      <c r="R165" s="115" t="str">
        <f t="shared" si="74"/>
        <v/>
      </c>
      <c r="S165" s="115" t="str">
        <f t="shared" si="74"/>
        <v/>
      </c>
      <c r="T165" s="115" t="str">
        <f t="shared" si="74"/>
        <v/>
      </c>
      <c r="U165" s="115" t="str">
        <f t="shared" si="75"/>
        <v/>
      </c>
      <c r="V165" s="115" t="str">
        <f t="shared" si="75"/>
        <v/>
      </c>
      <c r="W165" s="115" t="str">
        <f t="shared" si="75"/>
        <v/>
      </c>
    </row>
    <row r="166" spans="1:23" s="116" customFormat="1" x14ac:dyDescent="0.25">
      <c r="A166" s="114"/>
      <c r="B166" s="117"/>
      <c r="C166" s="117"/>
      <c r="D166" s="118"/>
      <c r="E166" s="115" t="str">
        <f t="shared" si="74"/>
        <v/>
      </c>
      <c r="F166" s="115" t="str">
        <f t="shared" si="74"/>
        <v/>
      </c>
      <c r="G166" s="115" t="str">
        <f t="shared" si="74"/>
        <v/>
      </c>
      <c r="H166" s="115" t="str">
        <f t="shared" si="74"/>
        <v/>
      </c>
      <c r="I166" s="115" t="str">
        <f t="shared" si="74"/>
        <v/>
      </c>
      <c r="J166" s="115" t="str">
        <f t="shared" si="74"/>
        <v/>
      </c>
      <c r="K166" s="115" t="str">
        <f t="shared" si="74"/>
        <v/>
      </c>
      <c r="L166" s="115" t="str">
        <f t="shared" si="74"/>
        <v/>
      </c>
      <c r="M166" s="115" t="str">
        <f t="shared" si="74"/>
        <v/>
      </c>
      <c r="N166" s="115" t="str">
        <f t="shared" si="74"/>
        <v/>
      </c>
      <c r="O166" s="115" t="str">
        <f t="shared" si="74"/>
        <v/>
      </c>
      <c r="P166" s="115" t="str">
        <f t="shared" si="74"/>
        <v/>
      </c>
      <c r="Q166" s="115" t="str">
        <f t="shared" si="74"/>
        <v/>
      </c>
      <c r="R166" s="115" t="str">
        <f t="shared" si="74"/>
        <v/>
      </c>
      <c r="S166" s="115" t="str">
        <f t="shared" si="74"/>
        <v/>
      </c>
      <c r="T166" s="115" t="str">
        <f t="shared" si="74"/>
        <v/>
      </c>
      <c r="U166" s="115" t="str">
        <f t="shared" si="75"/>
        <v/>
      </c>
      <c r="V166" s="115" t="str">
        <f t="shared" si="75"/>
        <v/>
      </c>
      <c r="W166" s="115" t="str">
        <f t="shared" si="75"/>
        <v/>
      </c>
    </row>
    <row r="167" spans="1:23" s="116" customFormat="1" x14ac:dyDescent="0.25">
      <c r="A167" s="114"/>
      <c r="B167" s="117"/>
      <c r="C167" s="117"/>
      <c r="D167" s="118"/>
      <c r="E167" s="115" t="str">
        <f t="shared" si="74"/>
        <v/>
      </c>
      <c r="F167" s="115" t="str">
        <f t="shared" si="74"/>
        <v/>
      </c>
      <c r="G167" s="115" t="str">
        <f t="shared" si="74"/>
        <v/>
      </c>
      <c r="H167" s="115" t="str">
        <f t="shared" si="74"/>
        <v/>
      </c>
      <c r="I167" s="115" t="str">
        <f t="shared" si="74"/>
        <v/>
      </c>
      <c r="J167" s="115" t="str">
        <f t="shared" si="74"/>
        <v/>
      </c>
      <c r="K167" s="115" t="str">
        <f t="shared" si="74"/>
        <v/>
      </c>
      <c r="L167" s="115" t="str">
        <f t="shared" si="74"/>
        <v/>
      </c>
      <c r="M167" s="115" t="str">
        <f t="shared" si="74"/>
        <v/>
      </c>
      <c r="N167" s="115" t="str">
        <f t="shared" si="74"/>
        <v/>
      </c>
      <c r="O167" s="115" t="str">
        <f t="shared" si="74"/>
        <v/>
      </c>
      <c r="P167" s="115" t="str">
        <f t="shared" si="74"/>
        <v/>
      </c>
      <c r="Q167" s="115" t="str">
        <f t="shared" si="74"/>
        <v/>
      </c>
      <c r="R167" s="115" t="str">
        <f t="shared" si="74"/>
        <v/>
      </c>
      <c r="S167" s="115" t="str">
        <f t="shared" si="74"/>
        <v/>
      </c>
      <c r="T167" s="115" t="str">
        <f t="shared" si="74"/>
        <v/>
      </c>
      <c r="U167" s="115" t="str">
        <f t="shared" si="75"/>
        <v/>
      </c>
      <c r="V167" s="115" t="str">
        <f t="shared" si="75"/>
        <v/>
      </c>
      <c r="W167" s="115" t="str">
        <f t="shared" si="75"/>
        <v/>
      </c>
    </row>
    <row r="168" spans="1:23" s="116" customFormat="1" x14ac:dyDescent="0.25">
      <c r="A168" s="114"/>
      <c r="B168" s="117"/>
      <c r="C168" s="117"/>
      <c r="D168" s="118"/>
      <c r="E168" s="115">
        <f>ROUNDUP(SUM(E148:E167),0)+2-1</f>
        <v>6</v>
      </c>
      <c r="F168" s="115">
        <f t="shared" ref="F168:W168" si="76">ROUNDUP(SUM(F148:F167),0)+2-1</f>
        <v>5</v>
      </c>
      <c r="G168" s="115">
        <f t="shared" si="76"/>
        <v>5</v>
      </c>
      <c r="H168" s="115">
        <f t="shared" si="76"/>
        <v>5</v>
      </c>
      <c r="I168" s="115">
        <f t="shared" si="76"/>
        <v>5</v>
      </c>
      <c r="J168" s="115">
        <f t="shared" si="76"/>
        <v>5</v>
      </c>
      <c r="K168" s="115">
        <f t="shared" si="76"/>
        <v>5</v>
      </c>
      <c r="L168" s="115">
        <f t="shared" si="76"/>
        <v>5</v>
      </c>
      <c r="M168" s="115">
        <f t="shared" si="76"/>
        <v>1</v>
      </c>
      <c r="N168" s="115">
        <f t="shared" si="76"/>
        <v>1</v>
      </c>
      <c r="O168" s="115">
        <f t="shared" si="76"/>
        <v>1</v>
      </c>
      <c r="P168" s="115">
        <f t="shared" si="76"/>
        <v>1</v>
      </c>
      <c r="Q168" s="115">
        <f t="shared" si="76"/>
        <v>1</v>
      </c>
      <c r="R168" s="115">
        <f t="shared" si="76"/>
        <v>1</v>
      </c>
      <c r="S168" s="115">
        <f t="shared" si="76"/>
        <v>1</v>
      </c>
      <c r="T168" s="115">
        <f t="shared" si="76"/>
        <v>1</v>
      </c>
      <c r="U168" s="115">
        <f t="shared" si="76"/>
        <v>1</v>
      </c>
      <c r="V168" s="115">
        <f t="shared" si="76"/>
        <v>1</v>
      </c>
      <c r="W168" s="115">
        <f t="shared" si="76"/>
        <v>1</v>
      </c>
    </row>
    <row r="169" spans="1:23" x14ac:dyDescent="0.25">
      <c r="D169" s="84"/>
      <c r="F169" s="82"/>
      <c r="G169" s="85"/>
      <c r="H169" s="85"/>
      <c r="I169" s="85"/>
      <c r="J169" s="85"/>
      <c r="K169" s="85"/>
      <c r="L169" s="85"/>
    </row>
    <row r="170" spans="1:23" x14ac:dyDescent="0.25">
      <c r="D170" s="84"/>
      <c r="F170" s="82"/>
      <c r="G170" s="85"/>
      <c r="H170" s="85"/>
      <c r="I170" s="85"/>
      <c r="J170" s="85"/>
      <c r="K170" s="85"/>
      <c r="L170" s="85"/>
    </row>
    <row r="171" spans="1:23" x14ac:dyDescent="0.25">
      <c r="D171" s="84"/>
      <c r="F171" s="82"/>
      <c r="G171" s="85"/>
      <c r="H171" s="85"/>
      <c r="I171" s="85"/>
      <c r="J171" s="85"/>
      <c r="K171" s="85"/>
      <c r="L171" s="85"/>
    </row>
    <row r="172" spans="1:23" x14ac:dyDescent="0.25">
      <c r="D172" s="84"/>
      <c r="F172" s="82"/>
      <c r="G172" s="85"/>
      <c r="H172" s="85"/>
      <c r="I172" s="85"/>
      <c r="J172" s="85"/>
      <c r="K172" s="85"/>
      <c r="L172" s="85"/>
    </row>
  </sheetData>
  <sheetProtection formatCells="0"/>
  <phoneticPr fontId="23" type="noConversion"/>
  <conditionalFormatting sqref="A28 F28:W28">
    <cfRule type="cellIs" dxfId="0" priority="1" stopIfTrue="1" operator="lessThan">
      <formula>0</formula>
    </cfRule>
  </conditionalFormatting>
  <dataValidations count="1">
    <dataValidation type="list" allowBlank="1" showInputMessage="1" showErrorMessage="1" sqref="J21">
      <formula1>$F$35:$W$35</formula1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R128"/>
  <sheetViews>
    <sheetView topLeftCell="A13" workbookViewId="0">
      <selection activeCell="M43" sqref="M43"/>
    </sheetView>
  </sheetViews>
  <sheetFormatPr defaultRowHeight="12.75" x14ac:dyDescent="0.2"/>
  <cols>
    <col min="1" max="1" width="10.85546875" customWidth="1"/>
    <col min="2" max="2" width="9.7109375" customWidth="1"/>
    <col min="3" max="3" width="15.7109375" bestFit="1" customWidth="1"/>
    <col min="4" max="4" width="9.28515625" customWidth="1"/>
    <col min="5" max="5" width="9.7109375" customWidth="1"/>
    <col min="6" max="6" width="8.7109375" customWidth="1"/>
    <col min="7" max="7" width="8.5703125" customWidth="1"/>
    <col min="8" max="9" width="8.7109375" customWidth="1"/>
    <col min="10" max="10" width="8.28515625" style="238" customWidth="1"/>
    <col min="11" max="11" width="6.85546875" style="261" customWidth="1"/>
    <col min="12" max="12" width="8.28515625" style="113" customWidth="1"/>
    <col min="13" max="13" width="8.7109375" customWidth="1"/>
    <col min="14" max="14" width="5" customWidth="1"/>
    <col min="15" max="15" width="7" customWidth="1"/>
    <col min="16" max="16" width="11.28515625" customWidth="1"/>
  </cols>
  <sheetData>
    <row r="1" spans="1:13" ht="13.5" thickBot="1" x14ac:dyDescent="0.25">
      <c r="A1" s="123" t="s">
        <v>218</v>
      </c>
    </row>
    <row r="2" spans="1:13" x14ac:dyDescent="0.2">
      <c r="C2" s="126" t="s">
        <v>136</v>
      </c>
      <c r="D2" s="127" t="s">
        <v>222</v>
      </c>
      <c r="E2" s="127" t="s">
        <v>223</v>
      </c>
      <c r="F2" s="127">
        <v>3</v>
      </c>
      <c r="G2" s="127">
        <v>4</v>
      </c>
      <c r="H2" s="127">
        <v>5</v>
      </c>
      <c r="I2" s="127">
        <v>6</v>
      </c>
      <c r="J2" s="239">
        <v>7</v>
      </c>
      <c r="K2" s="262">
        <v>8</v>
      </c>
      <c r="L2" s="146" t="s">
        <v>229</v>
      </c>
      <c r="M2" s="128" t="s">
        <v>230</v>
      </c>
    </row>
    <row r="3" spans="1:13" x14ac:dyDescent="0.2">
      <c r="A3" s="123" t="s">
        <v>226</v>
      </c>
      <c r="C3" s="129" t="s">
        <v>211</v>
      </c>
      <c r="D3" s="130">
        <v>22.36</v>
      </c>
      <c r="E3" s="130">
        <v>22.25</v>
      </c>
      <c r="F3" s="130">
        <v>19.12</v>
      </c>
      <c r="G3" s="130">
        <v>20.2</v>
      </c>
      <c r="H3" s="130">
        <v>19.18</v>
      </c>
      <c r="I3" s="130">
        <v>19.97</v>
      </c>
      <c r="J3" s="240">
        <v>19.66</v>
      </c>
      <c r="K3" s="263">
        <v>19.09</v>
      </c>
      <c r="L3" s="130">
        <v>22</v>
      </c>
      <c r="M3" s="131">
        <v>22</v>
      </c>
    </row>
    <row r="4" spans="1:13" x14ac:dyDescent="0.2">
      <c r="A4" s="123" t="s">
        <v>225</v>
      </c>
      <c r="C4" s="129" t="s">
        <v>15</v>
      </c>
      <c r="D4" s="132">
        <v>164</v>
      </c>
      <c r="E4" s="132">
        <v>112</v>
      </c>
      <c r="F4" s="132">
        <v>28</v>
      </c>
      <c r="G4" s="132">
        <v>34</v>
      </c>
      <c r="H4" s="132">
        <v>63</v>
      </c>
      <c r="I4" s="132">
        <v>41</v>
      </c>
      <c r="J4" s="241">
        <v>28</v>
      </c>
      <c r="K4" s="264">
        <v>35</v>
      </c>
      <c r="L4" s="258"/>
      <c r="M4" s="133"/>
    </row>
    <row r="5" spans="1:13" x14ac:dyDescent="0.2">
      <c r="A5" s="153" t="s">
        <v>214</v>
      </c>
      <c r="B5" s="153" t="s">
        <v>215</v>
      </c>
      <c r="C5" s="134" t="s">
        <v>212</v>
      </c>
      <c r="D5" s="225" t="s">
        <v>302</v>
      </c>
      <c r="E5" s="113"/>
      <c r="F5" s="113"/>
      <c r="G5" s="135" t="s">
        <v>224</v>
      </c>
      <c r="H5" s="113"/>
      <c r="I5" s="113"/>
      <c r="M5" s="136"/>
    </row>
    <row r="6" spans="1:13" x14ac:dyDescent="0.2">
      <c r="A6" s="88">
        <f>VLOOKUP($C6,SR_Kpw!$B$5:$F$257,3,FALSE)</f>
        <v>3.6289126722102099</v>
      </c>
      <c r="B6" s="2">
        <f>VLOOKUP($C6,SR_Kpw!$B$5:$F$257,5,FALSE)</f>
        <v>164</v>
      </c>
      <c r="C6" s="137" t="s">
        <v>19</v>
      </c>
      <c r="D6" s="138">
        <v>0</v>
      </c>
      <c r="E6" s="138">
        <v>0</v>
      </c>
      <c r="F6" s="138"/>
      <c r="G6" s="138"/>
      <c r="H6" s="138"/>
      <c r="I6" s="138"/>
      <c r="J6" s="242"/>
      <c r="K6" s="265"/>
      <c r="L6" s="138">
        <v>100</v>
      </c>
      <c r="M6" s="139">
        <v>100</v>
      </c>
    </row>
    <row r="7" spans="1:13" x14ac:dyDescent="0.2">
      <c r="A7" s="88">
        <f>VLOOKUP($C7,SR_Kpw!$B$5:$F$257,3,FALSE)</f>
        <v>4.22</v>
      </c>
      <c r="B7" s="2">
        <f>VLOOKUP($C7,SR_Kpw!$B$5:$F$257,5,FALSE)</f>
        <v>188.5</v>
      </c>
      <c r="C7" s="137" t="s">
        <v>20</v>
      </c>
      <c r="D7" s="138">
        <v>3.3572204403233523</v>
      </c>
      <c r="E7" s="138">
        <v>13.509485914576867</v>
      </c>
      <c r="F7" s="138"/>
      <c r="G7" s="138"/>
      <c r="H7" s="138"/>
      <c r="I7" s="138"/>
      <c r="J7" s="242"/>
      <c r="K7" s="265"/>
      <c r="L7" s="138">
        <v>637.66727638340456</v>
      </c>
      <c r="M7" s="139">
        <v>614.49707181096153</v>
      </c>
    </row>
    <row r="8" spans="1:13" x14ac:dyDescent="0.2">
      <c r="A8" s="88">
        <f>VLOOKUP($C8,SR_Kpw!$B$5:$F$257,3,FALSE)</f>
        <v>4.41</v>
      </c>
      <c r="B8" s="2">
        <f>VLOOKUP($C8,SR_Kpw!$B$5:$F$257,5,FALSE)</f>
        <v>188.5</v>
      </c>
      <c r="C8" s="137" t="s">
        <v>21</v>
      </c>
      <c r="D8" s="138">
        <v>20.737114758785111</v>
      </c>
      <c r="E8" s="138">
        <v>47.222271995308894</v>
      </c>
      <c r="F8" s="138"/>
      <c r="G8" s="138"/>
      <c r="H8" s="138"/>
      <c r="I8" s="138"/>
      <c r="J8" s="242"/>
      <c r="K8" s="265"/>
      <c r="L8" s="138">
        <v>925.29007720521724</v>
      </c>
      <c r="M8" s="139">
        <v>865.0971933007387</v>
      </c>
    </row>
    <row r="9" spans="1:13" x14ac:dyDescent="0.2">
      <c r="A9" s="88">
        <f>VLOOKUP($C9,SR_Kpw!$B$5:$F$257,3,FALSE)</f>
        <v>4.3600000000000003</v>
      </c>
      <c r="B9" s="2">
        <f>VLOOKUP($C9,SR_Kpw!$B$5:$F$257,5,FALSE)</f>
        <v>188.5</v>
      </c>
      <c r="C9" s="137" t="s">
        <v>22</v>
      </c>
      <c r="D9" s="138">
        <v>13.115036868528911</v>
      </c>
      <c r="E9" s="138">
        <v>37.082393232855246</v>
      </c>
      <c r="F9" s="138"/>
      <c r="G9" s="138"/>
      <c r="H9" s="138"/>
      <c r="I9" s="138"/>
      <c r="J9" s="242"/>
      <c r="K9" s="265"/>
      <c r="L9" s="138">
        <v>743.73961360847341</v>
      </c>
      <c r="M9" s="139">
        <v>690.0534105525345</v>
      </c>
    </row>
    <row r="10" spans="1:13" x14ac:dyDescent="0.2">
      <c r="A10" s="88">
        <f>VLOOKUP($C10,SR_Kpw!$B$5:$F$257,3,FALSE)</f>
        <v>4.5807477196850215</v>
      </c>
      <c r="B10" s="2">
        <f>VLOOKUP($C10,SR_Kpw!$B$5:$F$257,5,FALSE)</f>
        <v>223</v>
      </c>
      <c r="C10" s="137" t="s">
        <v>23</v>
      </c>
      <c r="D10" s="138">
        <v>21.824581464402403</v>
      </c>
      <c r="E10" s="138">
        <v>158.36576705760956</v>
      </c>
      <c r="F10" s="138"/>
      <c r="G10" s="138"/>
      <c r="H10" s="138"/>
      <c r="I10" s="138"/>
      <c r="J10" s="242"/>
      <c r="K10" s="265"/>
      <c r="L10" s="138">
        <v>574.13858610904265</v>
      </c>
      <c r="M10" s="139">
        <v>612.05617149847239</v>
      </c>
    </row>
    <row r="11" spans="1:13" x14ac:dyDescent="0.2">
      <c r="A11" s="88">
        <f>VLOOKUP($C11,SR_Kpw!$B$5:$F$257,3,FALSE)</f>
        <v>5.1126693807304999</v>
      </c>
      <c r="B11" s="2">
        <f>VLOOKUP($C11,SR_Kpw!$B$5:$F$257,5,FALSE)</f>
        <v>223</v>
      </c>
      <c r="C11" s="137" t="s">
        <v>24</v>
      </c>
      <c r="D11" s="138">
        <v>396.59659246710015</v>
      </c>
      <c r="E11" s="138">
        <v>577.17666199040013</v>
      </c>
      <c r="F11" s="138"/>
      <c r="G11" s="138"/>
      <c r="H11" s="138"/>
      <c r="I11" s="138"/>
      <c r="J11" s="242"/>
      <c r="K11" s="265"/>
      <c r="L11" s="138">
        <v>997.12720845480533</v>
      </c>
      <c r="M11" s="139">
        <v>980.50500167121209</v>
      </c>
    </row>
    <row r="12" spans="1:13" x14ac:dyDescent="0.2">
      <c r="A12" s="88">
        <f>VLOOKUP($C12,SR_Kpw!$B$5:$F$257,3,FALSE)</f>
        <v>5.3808401792380556</v>
      </c>
      <c r="B12" s="2">
        <f>VLOOKUP($C12,SR_Kpw!$B$5:$F$257,5,FALSE)</f>
        <v>257.5</v>
      </c>
      <c r="C12" s="137" t="s">
        <v>27</v>
      </c>
      <c r="D12" s="138">
        <v>235.22763328273055</v>
      </c>
      <c r="E12" s="138">
        <v>412.24172762391271</v>
      </c>
      <c r="F12" s="138"/>
      <c r="G12" s="138"/>
      <c r="H12" s="138"/>
      <c r="I12" s="138"/>
      <c r="J12" s="242"/>
      <c r="K12" s="265"/>
      <c r="L12" s="138">
        <v>506.37053456893426</v>
      </c>
      <c r="M12" s="139">
        <v>532.35282101795997</v>
      </c>
    </row>
    <row r="13" spans="1:13" x14ac:dyDescent="0.2">
      <c r="A13" s="88">
        <f>VLOOKUP($C13,SR_Kpw!$B$5:$F$257,3,FALSE)</f>
        <v>5.2150772759290298</v>
      </c>
      <c r="B13" s="2">
        <f>VLOOKUP($C13,SR_Kpw!$B$5:$F$257,5,FALSE)</f>
        <v>257.5</v>
      </c>
      <c r="C13" s="137" t="s">
        <v>25</v>
      </c>
      <c r="D13" s="138">
        <v>309.09011150694181</v>
      </c>
      <c r="E13" s="138">
        <v>374.49559043831664</v>
      </c>
      <c r="F13" s="138"/>
      <c r="G13" s="138"/>
      <c r="H13" s="138"/>
      <c r="I13" s="138"/>
      <c r="J13" s="242"/>
      <c r="K13" s="265"/>
      <c r="L13" s="138">
        <v>431.64611559015123</v>
      </c>
      <c r="M13" s="139">
        <v>451.48076038047805</v>
      </c>
    </row>
    <row r="14" spans="1:13" x14ac:dyDescent="0.2">
      <c r="A14" s="88">
        <f>VLOOKUP($C14,SR_Kpw!$B$5:$F$257,3,FALSE)</f>
        <v>5.7103808749838159</v>
      </c>
      <c r="B14" s="2">
        <f>VLOOKUP($C14,SR_Kpw!$B$5:$F$257,5,FALSE)</f>
        <v>292</v>
      </c>
      <c r="C14" s="137" t="s">
        <v>26</v>
      </c>
      <c r="D14" s="138">
        <v>401.43223315744501</v>
      </c>
      <c r="E14" s="138">
        <v>523.3062340955363</v>
      </c>
      <c r="F14" s="138"/>
      <c r="G14" s="138"/>
      <c r="H14" s="138"/>
      <c r="I14" s="138"/>
      <c r="J14" s="242"/>
      <c r="K14" s="265"/>
      <c r="L14" s="138">
        <v>746.7968385774077</v>
      </c>
      <c r="M14" s="139">
        <v>788.0426497247305</v>
      </c>
    </row>
    <row r="15" spans="1:13" x14ac:dyDescent="0.2">
      <c r="A15" s="88">
        <f>VLOOKUP($C15,SR_Kpw!$B$5:$F$257,3,FALSE)</f>
        <v>5.9910108136063922</v>
      </c>
      <c r="B15" s="2">
        <f>VLOOKUP($C15,SR_Kpw!$B$5:$F$257,5,FALSE)</f>
        <v>292</v>
      </c>
      <c r="C15" s="137" t="s">
        <v>29</v>
      </c>
      <c r="D15" s="138">
        <v>282.94552994960804</v>
      </c>
      <c r="E15" s="138">
        <v>303.10815344010132</v>
      </c>
      <c r="F15" s="138"/>
      <c r="G15" s="138"/>
      <c r="H15" s="138"/>
      <c r="I15" s="138"/>
      <c r="J15" s="242"/>
      <c r="K15" s="265"/>
      <c r="L15" s="138">
        <v>324.97794243006928</v>
      </c>
      <c r="M15" s="139">
        <v>327.67589242209385</v>
      </c>
    </row>
    <row r="16" spans="1:13" x14ac:dyDescent="0.2">
      <c r="A16" s="88">
        <f>VLOOKUP($C16,SR_Kpw!$B$5:$F$257,3,FALSE)</f>
        <v>6.1512473526090172</v>
      </c>
      <c r="B16" s="2">
        <f>VLOOKUP($C16,SR_Kpw!$B$5:$F$257,5,FALSE)</f>
        <v>326.5</v>
      </c>
      <c r="C16" s="137" t="s">
        <v>28</v>
      </c>
      <c r="D16" s="138">
        <v>301.35866565763519</v>
      </c>
      <c r="E16" s="138">
        <v>363.89494596187262</v>
      </c>
      <c r="F16" s="138"/>
      <c r="G16" s="138"/>
      <c r="H16" s="138"/>
      <c r="I16" s="138"/>
      <c r="J16" s="242"/>
      <c r="K16" s="265"/>
      <c r="L16" s="138">
        <v>441.57040345700477</v>
      </c>
      <c r="M16" s="139">
        <v>417.17022256992112</v>
      </c>
    </row>
    <row r="17" spans="1:18" x14ac:dyDescent="0.2">
      <c r="A17" s="88">
        <f>VLOOKUP($C17,SR_Kpw!$B$5:$F$257,3,FALSE)</f>
        <v>6.0670416013311428</v>
      </c>
      <c r="B17" s="2">
        <f>VLOOKUP($C17,SR_Kpw!$B$5:$F$257,5,FALSE)</f>
        <v>292</v>
      </c>
      <c r="C17" s="137" t="s">
        <v>30</v>
      </c>
      <c r="D17" s="138">
        <v>289.218006190241</v>
      </c>
      <c r="E17" s="138">
        <v>321.50974142509239</v>
      </c>
      <c r="F17" s="138"/>
      <c r="G17" s="138"/>
      <c r="H17" s="138"/>
      <c r="I17" s="138"/>
      <c r="J17" s="242"/>
      <c r="K17" s="265"/>
      <c r="L17" s="138">
        <v>360.89264571057458</v>
      </c>
      <c r="M17" s="139">
        <v>384.15959058974852</v>
      </c>
    </row>
    <row r="18" spans="1:18" x14ac:dyDescent="0.2">
      <c r="A18" s="88">
        <f>VLOOKUP($C18,SR_Kpw!$B$5:$F$257,3,FALSE)</f>
        <v>6.6244385515080841</v>
      </c>
      <c r="B18" s="2">
        <f>VLOOKUP($C18,SR_Kpw!$B$5:$F$257,5,FALSE)</f>
        <v>361</v>
      </c>
      <c r="C18" s="137" t="s">
        <v>31</v>
      </c>
      <c r="D18" s="138">
        <v>284.94218954370018</v>
      </c>
      <c r="E18" s="138">
        <v>307.47888357446044</v>
      </c>
      <c r="F18" s="138"/>
      <c r="G18" s="138"/>
      <c r="H18" s="138"/>
      <c r="I18" s="138"/>
      <c r="J18" s="242"/>
      <c r="K18" s="265"/>
      <c r="L18" s="138">
        <v>318.24893908170117</v>
      </c>
      <c r="M18" s="139">
        <v>345.18280384916619</v>
      </c>
    </row>
    <row r="19" spans="1:18" ht="13.5" thickBot="1" x14ac:dyDescent="0.25">
      <c r="A19" s="88">
        <f>VLOOKUP($C19,SR_Kpw!$B$5:$F$257,3,FALSE)</f>
        <v>7.5869561263185288</v>
      </c>
      <c r="B19" s="2">
        <f>VLOOKUP($C19,SR_Kpw!$B$5:$F$257,5,FALSE)</f>
        <v>430</v>
      </c>
      <c r="C19" s="140" t="s">
        <v>32</v>
      </c>
      <c r="D19" s="141">
        <v>447.12538540267531</v>
      </c>
      <c r="E19" s="141">
        <v>447.12538540267349</v>
      </c>
      <c r="F19" s="141"/>
      <c r="G19" s="141"/>
      <c r="H19" s="141"/>
      <c r="I19" s="141"/>
      <c r="J19" s="243"/>
      <c r="K19" s="266"/>
      <c r="L19" s="141">
        <v>448.76445396398333</v>
      </c>
      <c r="M19" s="142">
        <v>445.4863168413637</v>
      </c>
    </row>
    <row r="20" spans="1:18" ht="13.5" thickBot="1" x14ac:dyDescent="0.25">
      <c r="D20" s="143"/>
      <c r="E20" s="143"/>
      <c r="F20" s="143"/>
      <c r="G20" s="143"/>
      <c r="H20" s="143"/>
      <c r="I20" s="143"/>
      <c r="J20" s="244"/>
      <c r="K20" s="267"/>
      <c r="L20" s="259"/>
      <c r="M20" s="143"/>
    </row>
    <row r="21" spans="1:18" ht="17.25" thickTop="1" thickBot="1" x14ac:dyDescent="0.3">
      <c r="C21" s="144" t="s">
        <v>208</v>
      </c>
      <c r="D21" s="145" t="s">
        <v>222</v>
      </c>
      <c r="E21" s="145" t="s">
        <v>223</v>
      </c>
      <c r="F21" s="145">
        <v>3</v>
      </c>
      <c r="G21" s="145">
        <v>4</v>
      </c>
      <c r="H21" s="145">
        <v>5</v>
      </c>
      <c r="I21" s="145">
        <v>6</v>
      </c>
      <c r="J21" s="245">
        <v>7</v>
      </c>
      <c r="K21" s="268">
        <v>8</v>
      </c>
      <c r="L21" s="146" t="str">
        <f>L2</f>
        <v>Kontrola1</v>
      </c>
      <c r="M21" s="128" t="str">
        <f>M2</f>
        <v>Kontrola2</v>
      </c>
      <c r="O21" s="147" t="s">
        <v>228</v>
      </c>
      <c r="P21" s="148"/>
      <c r="Q21" s="149">
        <v>3</v>
      </c>
    </row>
    <row r="22" spans="1:18" ht="15.75" x14ac:dyDescent="0.3">
      <c r="A22" s="123" t="s">
        <v>226</v>
      </c>
      <c r="C22" s="150" t="s">
        <v>213</v>
      </c>
      <c r="D22" s="130">
        <f t="shared" ref="D22:K23" si="0">D3</f>
        <v>22.36</v>
      </c>
      <c r="E22" s="130">
        <f t="shared" si="0"/>
        <v>22.25</v>
      </c>
      <c r="F22" s="130">
        <f t="shared" si="0"/>
        <v>19.12</v>
      </c>
      <c r="G22" s="130">
        <f t="shared" si="0"/>
        <v>20.2</v>
      </c>
      <c r="H22" s="130">
        <f t="shared" si="0"/>
        <v>19.18</v>
      </c>
      <c r="I22" s="130">
        <f t="shared" si="0"/>
        <v>19.97</v>
      </c>
      <c r="J22" s="240">
        <f t="shared" si="0"/>
        <v>19.66</v>
      </c>
      <c r="K22" s="263">
        <f t="shared" si="0"/>
        <v>19.09</v>
      </c>
      <c r="L22" s="130">
        <v>20.337</v>
      </c>
      <c r="M22" s="151">
        <v>20.398</v>
      </c>
    </row>
    <row r="23" spans="1:18" x14ac:dyDescent="0.2">
      <c r="A23" s="123" t="s">
        <v>225</v>
      </c>
      <c r="C23" s="152" t="s">
        <v>15</v>
      </c>
      <c r="D23" s="132">
        <f t="shared" si="0"/>
        <v>164</v>
      </c>
      <c r="E23" s="132">
        <f t="shared" si="0"/>
        <v>112</v>
      </c>
      <c r="F23" s="132">
        <f t="shared" si="0"/>
        <v>28</v>
      </c>
      <c r="G23" s="132">
        <f t="shared" si="0"/>
        <v>34</v>
      </c>
      <c r="H23" s="132">
        <f t="shared" si="0"/>
        <v>63</v>
      </c>
      <c r="I23" s="132">
        <f t="shared" si="0"/>
        <v>41</v>
      </c>
      <c r="J23" s="241">
        <f t="shared" si="0"/>
        <v>28</v>
      </c>
      <c r="K23" s="264">
        <f t="shared" si="0"/>
        <v>35</v>
      </c>
      <c r="L23" s="130"/>
      <c r="M23" s="151"/>
    </row>
    <row r="24" spans="1:18" x14ac:dyDescent="0.2">
      <c r="A24" s="153" t="s">
        <v>214</v>
      </c>
      <c r="B24" s="153" t="s">
        <v>215</v>
      </c>
      <c r="C24" s="154"/>
      <c r="D24" s="113"/>
      <c r="E24" s="113"/>
      <c r="F24" s="113"/>
      <c r="G24" s="113"/>
      <c r="H24" s="113"/>
      <c r="I24" s="113"/>
      <c r="P24" t="str">
        <f>"ID vzorku "&amp;Q21</f>
        <v>ID vzorku 3</v>
      </c>
    </row>
    <row r="25" spans="1:18" x14ac:dyDescent="0.2">
      <c r="A25" s="88">
        <f>A6</f>
        <v>3.6289126722102099</v>
      </c>
      <c r="B25" s="2">
        <f>B6</f>
        <v>164</v>
      </c>
      <c r="C25" s="155" t="str">
        <f>C6</f>
        <v>BIP-D10</v>
      </c>
      <c r="D25" s="156" t="str">
        <f t="shared" ref="D25:M38" si="1">IF(ISERROR(1/D6),"",D6/D$3/(SUM($L6:$M6)/SUM($L$3:$M$3)))</f>
        <v/>
      </c>
      <c r="E25" s="156" t="str">
        <f t="shared" si="1"/>
        <v/>
      </c>
      <c r="F25" s="156">
        <v>7.4837293549549029E-3</v>
      </c>
      <c r="G25" s="156">
        <v>1.035544681813789E-2</v>
      </c>
      <c r="H25" s="156">
        <v>4.8319294472894236E-2</v>
      </c>
      <c r="I25" s="156">
        <v>4.1249172751350885E-2</v>
      </c>
      <c r="J25" s="246">
        <v>5.4862395769940939E-2</v>
      </c>
      <c r="K25" s="269">
        <v>4.9335245320091266E-2</v>
      </c>
      <c r="L25" s="157">
        <f t="shared" si="1"/>
        <v>1</v>
      </c>
      <c r="M25" s="158">
        <f t="shared" si="1"/>
        <v>1</v>
      </c>
      <c r="O25" s="88">
        <f t="shared" ref="O25:O38" si="2">INDEX($C$21:$K$128,ROW()-ROW($C$21)+1,MATCH(Q$21,$C$21:$K$21,0))</f>
        <v>7.4837293549549029E-3</v>
      </c>
      <c r="P25" s="88">
        <f>A25+LOG(B25^0.47)</f>
        <v>4.6698892807926278</v>
      </c>
      <c r="Q25" t="str">
        <f>"FA="&amp;ROUND(R25,-LOG(R26)+2)</f>
        <v>FA=287</v>
      </c>
      <c r="R25">
        <f>INDEX($C$21:$K$128,MATCH("FA",$C$21:$C$128,0),MATCH(Q$21,$C$21:$K$21,0))</f>
        <v>287.3850248804298</v>
      </c>
    </row>
    <row r="26" spans="1:18" x14ac:dyDescent="0.2">
      <c r="A26" s="88">
        <f t="shared" ref="A26:B38" si="3">A7</f>
        <v>4.22</v>
      </c>
      <c r="B26" s="2">
        <f t="shared" si="3"/>
        <v>188.5</v>
      </c>
      <c r="C26" s="155" t="str">
        <f t="shared" ref="C26:C38" si="4">C7</f>
        <v>PCB001</v>
      </c>
      <c r="D26" s="156">
        <f t="shared" si="1"/>
        <v>5.2759345774717869E-3</v>
      </c>
      <c r="E26" s="156">
        <f t="shared" si="1"/>
        <v>2.1335368567665294E-2</v>
      </c>
      <c r="F26" s="156">
        <v>0.11456858420963939</v>
      </c>
      <c r="G26" s="156">
        <v>0.12729811178100189</v>
      </c>
      <c r="H26" s="156">
        <v>7.0353324493805491E-2</v>
      </c>
      <c r="I26" s="156">
        <v>4.8185544080518519E-2</v>
      </c>
      <c r="J26" s="246">
        <v>8.6733313642549131E-2</v>
      </c>
      <c r="K26" s="269">
        <v>0.12501840541423856</v>
      </c>
      <c r="L26" s="157">
        <f t="shared" si="1"/>
        <v>1.0185041241637767</v>
      </c>
      <c r="M26" s="158">
        <f t="shared" si="1"/>
        <v>0.98149587583622333</v>
      </c>
      <c r="O26" s="88">
        <f t="shared" si="2"/>
        <v>0.11456858420963939</v>
      </c>
      <c r="P26" s="88">
        <f t="shared" ref="P26:P38" si="5">A26+LOG(B26^0.47)</f>
        <v>5.2893963366346508</v>
      </c>
      <c r="Q26" t="str">
        <f>"Rs300="&amp;ROUND(R26,1)&amp;" L/d"</f>
        <v>Rs300=19,7 L/d</v>
      </c>
      <c r="R26">
        <f>INDEX($C$21:$K$128,MATCH("FA",$C$21:$C$128,0),MATCH(Q$21,$C$21:$K$21,0))*300^-0.47</f>
        <v>19.688704658221347</v>
      </c>
    </row>
    <row r="27" spans="1:18" x14ac:dyDescent="0.2">
      <c r="A27" s="88">
        <f t="shared" si="3"/>
        <v>4.41</v>
      </c>
      <c r="B27" s="2">
        <f t="shared" si="3"/>
        <v>188.5</v>
      </c>
      <c r="C27" s="155" t="str">
        <f t="shared" si="4"/>
        <v>PCB002</v>
      </c>
      <c r="D27" s="156">
        <f t="shared" si="1"/>
        <v>2.2791989015563278E-2</v>
      </c>
      <c r="E27" s="156">
        <f t="shared" si="1"/>
        <v>5.2158195535342511E-2</v>
      </c>
      <c r="F27" s="156">
        <v>0.11073905172875176</v>
      </c>
      <c r="G27" s="156">
        <v>0.1114336269170224</v>
      </c>
      <c r="H27" s="156">
        <v>7.4758978574328477E-2</v>
      </c>
      <c r="I27" s="156">
        <v>5.8212508670654438E-2</v>
      </c>
      <c r="J27" s="246">
        <v>9.9925392934784474E-2</v>
      </c>
      <c r="K27" s="269">
        <v>0.15387886186974523</v>
      </c>
      <c r="L27" s="157">
        <f t="shared" si="1"/>
        <v>1.0336200356738843</v>
      </c>
      <c r="M27" s="158">
        <f t="shared" si="1"/>
        <v>0.96637996432611573</v>
      </c>
      <c r="O27" s="88">
        <f t="shared" si="2"/>
        <v>0.11073905172875176</v>
      </c>
      <c r="P27" s="88">
        <f t="shared" si="5"/>
        <v>5.4793963366346521</v>
      </c>
    </row>
    <row r="28" spans="1:18" x14ac:dyDescent="0.2">
      <c r="A28" s="88">
        <f t="shared" si="3"/>
        <v>4.3600000000000003</v>
      </c>
      <c r="B28" s="2">
        <f t="shared" si="3"/>
        <v>188.5</v>
      </c>
      <c r="C28" s="155" t="str">
        <f t="shared" si="4"/>
        <v>PCB003</v>
      </c>
      <c r="D28" s="156">
        <f t="shared" si="1"/>
        <v>1.7999644594917642E-2</v>
      </c>
      <c r="E28" s="156">
        <f t="shared" si="1"/>
        <v>5.1145090694761142E-2</v>
      </c>
      <c r="F28" s="156">
        <v>0.28964338429687947</v>
      </c>
      <c r="G28" s="156">
        <v>0.12375660282721929</v>
      </c>
      <c r="H28" s="156">
        <v>7.2824547175287205E-2</v>
      </c>
      <c r="I28" s="156">
        <v>6.1917466868089549E-2</v>
      </c>
      <c r="J28" s="246">
        <v>0.16938712170658157</v>
      </c>
      <c r="K28" s="269">
        <v>0.16099975650721149</v>
      </c>
      <c r="L28" s="157">
        <f t="shared" si="1"/>
        <v>1.0374434818354299</v>
      </c>
      <c r="M28" s="158">
        <f t="shared" si="1"/>
        <v>0.96255651816456989</v>
      </c>
      <c r="O28" s="88">
        <f t="shared" si="2"/>
        <v>0.28964338429687947</v>
      </c>
      <c r="P28" s="88">
        <f t="shared" si="5"/>
        <v>5.4293963366346514</v>
      </c>
    </row>
    <row r="29" spans="1:18" x14ac:dyDescent="0.2">
      <c r="A29" s="88">
        <f t="shared" si="3"/>
        <v>4.5807477196850215</v>
      </c>
      <c r="B29" s="2">
        <f t="shared" si="3"/>
        <v>223</v>
      </c>
      <c r="C29" s="155" t="str">
        <f t="shared" si="4"/>
        <v>PCB010</v>
      </c>
      <c r="D29" s="156">
        <f t="shared" si="1"/>
        <v>3.6205187488633321E-2</v>
      </c>
      <c r="E29" s="156">
        <f t="shared" si="1"/>
        <v>0.26401461549592131</v>
      </c>
      <c r="F29" s="156">
        <v>0.62343821629801455</v>
      </c>
      <c r="G29" s="156">
        <v>0.28483136627357036</v>
      </c>
      <c r="H29" s="156">
        <v>0.10990070961425559</v>
      </c>
      <c r="I29" s="156">
        <v>0.14572542210068112</v>
      </c>
      <c r="J29" s="246">
        <v>0.25327826435651213</v>
      </c>
      <c r="K29" s="269">
        <v>0.28223174328606176</v>
      </c>
      <c r="L29" s="157">
        <f t="shared" si="1"/>
        <v>0.96803426659387104</v>
      </c>
      <c r="M29" s="158">
        <f t="shared" si="1"/>
        <v>1.0319657334061292</v>
      </c>
      <c r="O29" s="88">
        <f t="shared" si="2"/>
        <v>0.62343821629801455</v>
      </c>
      <c r="P29" s="88">
        <f t="shared" si="5"/>
        <v>5.6844510053176567</v>
      </c>
    </row>
    <row r="30" spans="1:18" x14ac:dyDescent="0.2">
      <c r="A30" s="88">
        <f t="shared" si="3"/>
        <v>5.1126693807304999</v>
      </c>
      <c r="B30" s="2">
        <f t="shared" si="3"/>
        <v>223</v>
      </c>
      <c r="C30" s="155" t="str">
        <f t="shared" si="4"/>
        <v>PCB014</v>
      </c>
      <c r="D30" s="156">
        <f t="shared" si="1"/>
        <v>0.39462475821629439</v>
      </c>
      <c r="E30" s="156">
        <f t="shared" si="1"/>
        <v>0.5771462742513026</v>
      </c>
      <c r="F30" s="156">
        <v>0.67049655803613661</v>
      </c>
      <c r="G30" s="156">
        <v>0.34148000881223373</v>
      </c>
      <c r="H30" s="156">
        <v>0.40994959879820747</v>
      </c>
      <c r="I30" s="156">
        <v>0.45751315663341047</v>
      </c>
      <c r="J30" s="246">
        <v>0.68837384610077168</v>
      </c>
      <c r="K30" s="269">
        <v>0.71145846222296927</v>
      </c>
      <c r="L30" s="157">
        <f t="shared" si="1"/>
        <v>1.0084051052053475</v>
      </c>
      <c r="M30" s="158">
        <f t="shared" si="1"/>
        <v>0.99159489479465224</v>
      </c>
      <c r="O30" s="88">
        <f t="shared" si="2"/>
        <v>0.67049655803613661</v>
      </c>
      <c r="P30" s="88">
        <f t="shared" si="5"/>
        <v>6.2163726663631351</v>
      </c>
    </row>
    <row r="31" spans="1:18" x14ac:dyDescent="0.2">
      <c r="A31" s="88">
        <f t="shared" si="3"/>
        <v>5.3808401792380556</v>
      </c>
      <c r="B31" s="2">
        <f t="shared" si="3"/>
        <v>257.5</v>
      </c>
      <c r="C31" s="155" t="str">
        <f t="shared" si="4"/>
        <v>PCB021</v>
      </c>
      <c r="D31" s="156">
        <f t="shared" si="1"/>
        <v>0.44562476632872816</v>
      </c>
      <c r="E31" s="156">
        <f t="shared" si="1"/>
        <v>0.7848284067315362</v>
      </c>
      <c r="F31" s="156">
        <v>0.64718843864203723</v>
      </c>
      <c r="G31" s="156">
        <v>0.4356996262008323</v>
      </c>
      <c r="H31" s="156">
        <v>0.5163026156963495</v>
      </c>
      <c r="I31" s="156">
        <v>0.6127101986215161</v>
      </c>
      <c r="J31" s="246">
        <v>0.73984025549468491</v>
      </c>
      <c r="K31" s="269">
        <v>0.72815692528667675</v>
      </c>
      <c r="L31" s="157">
        <f t="shared" si="1"/>
        <v>0.97498632690862586</v>
      </c>
      <c r="M31" s="158">
        <f t="shared" si="1"/>
        <v>1.0250136730913741</v>
      </c>
      <c r="O31" s="88">
        <f t="shared" si="2"/>
        <v>0.64718843864203723</v>
      </c>
      <c r="P31" s="88">
        <f t="shared" si="5"/>
        <v>6.5139054789253441</v>
      </c>
    </row>
    <row r="32" spans="1:18" x14ac:dyDescent="0.2">
      <c r="A32" s="88">
        <f t="shared" si="3"/>
        <v>5.2150772759290298</v>
      </c>
      <c r="B32" s="2">
        <f t="shared" si="3"/>
        <v>257.5</v>
      </c>
      <c r="C32" s="155" t="str">
        <f t="shared" si="4"/>
        <v>PCB030</v>
      </c>
      <c r="D32" s="156">
        <f t="shared" si="1"/>
        <v>0.68872030439348375</v>
      </c>
      <c r="E32" s="156">
        <f t="shared" si="1"/>
        <v>0.83858341284979543</v>
      </c>
      <c r="F32" s="156">
        <v>0.82828873638698042</v>
      </c>
      <c r="G32" s="156">
        <v>0.7371954260324648</v>
      </c>
      <c r="H32" s="156">
        <v>0.77889476501212707</v>
      </c>
      <c r="I32" s="156">
        <v>0.83334641838090451</v>
      </c>
      <c r="J32" s="246">
        <v>0.88758782719226204</v>
      </c>
      <c r="K32" s="269">
        <v>0.86946238151260113</v>
      </c>
      <c r="L32" s="157">
        <f t="shared" si="1"/>
        <v>0.97754043577427419</v>
      </c>
      <c r="M32" s="158">
        <f t="shared" si="1"/>
        <v>1.0224595642257255</v>
      </c>
      <c r="O32" s="88">
        <f t="shared" si="2"/>
        <v>0.82828873638698042</v>
      </c>
      <c r="P32" s="88">
        <f t="shared" si="5"/>
        <v>6.3481425756163183</v>
      </c>
    </row>
    <row r="33" spans="1:16" x14ac:dyDescent="0.2">
      <c r="A33" s="88">
        <f t="shared" si="3"/>
        <v>5.7103808749838159</v>
      </c>
      <c r="B33" s="2">
        <f t="shared" si="3"/>
        <v>292</v>
      </c>
      <c r="C33" s="155" t="str">
        <f t="shared" si="4"/>
        <v>PCB050</v>
      </c>
      <c r="D33" s="156">
        <f t="shared" si="1"/>
        <v>0.51467154109771651</v>
      </c>
      <c r="E33" s="156">
        <f t="shared" si="1"/>
        <v>0.67424169460352457</v>
      </c>
      <c r="F33" s="156"/>
      <c r="G33" s="156"/>
      <c r="H33" s="156">
        <v>0.81393625051213792</v>
      </c>
      <c r="I33" s="156">
        <v>0.93224008690499671</v>
      </c>
      <c r="J33" s="246">
        <v>0.97862383992827962</v>
      </c>
      <c r="K33" s="269">
        <v>0.98251917970690872</v>
      </c>
      <c r="L33" s="157">
        <f t="shared" si="1"/>
        <v>0.97312695466745536</v>
      </c>
      <c r="M33" s="158">
        <f t="shared" si="1"/>
        <v>1.0268730453325445</v>
      </c>
      <c r="O33" s="88">
        <f t="shared" si="2"/>
        <v>0</v>
      </c>
      <c r="P33" s="88">
        <f t="shared" si="5"/>
        <v>6.8691108151645723</v>
      </c>
    </row>
    <row r="34" spans="1:16" x14ac:dyDescent="0.2">
      <c r="A34" s="88">
        <f t="shared" si="3"/>
        <v>5.9910108136063922</v>
      </c>
      <c r="B34" s="2">
        <f t="shared" si="3"/>
        <v>292</v>
      </c>
      <c r="C34" s="155" t="str">
        <f t="shared" si="4"/>
        <v>PCB055</v>
      </c>
      <c r="D34" s="156">
        <f t="shared" si="1"/>
        <v>0.85310172540120133</v>
      </c>
      <c r="E34" s="156">
        <f t="shared" si="1"/>
        <v>0.91841165361044508</v>
      </c>
      <c r="F34" s="156">
        <v>0.97467467699671195</v>
      </c>
      <c r="G34" s="156">
        <v>0.89294071426749388</v>
      </c>
      <c r="H34" s="156">
        <v>0.95078397098775003</v>
      </c>
      <c r="I34" s="156">
        <v>1.0256062265650239</v>
      </c>
      <c r="J34" s="246">
        <v>1.050572624164571</v>
      </c>
      <c r="K34" s="269">
        <v>1.0091489988661786</v>
      </c>
      <c r="L34" s="157">
        <f t="shared" si="1"/>
        <v>0.99586618533753712</v>
      </c>
      <c r="M34" s="158">
        <f t="shared" si="1"/>
        <v>1.0041338146624632</v>
      </c>
      <c r="O34" s="88">
        <f t="shared" si="2"/>
        <v>0.97467467699671195</v>
      </c>
      <c r="P34" s="88">
        <f t="shared" si="5"/>
        <v>7.1497407537871487</v>
      </c>
    </row>
    <row r="35" spans="1:16" x14ac:dyDescent="0.2">
      <c r="A35" s="88">
        <f t="shared" si="3"/>
        <v>6.1512473526090172</v>
      </c>
      <c r="B35" s="2">
        <f t="shared" si="3"/>
        <v>326.5</v>
      </c>
      <c r="C35" s="155" t="str">
        <f t="shared" si="4"/>
        <v>PCB104</v>
      </c>
      <c r="D35" s="156">
        <f t="shared" si="1"/>
        <v>0.69056180235016484</v>
      </c>
      <c r="E35" s="156">
        <f t="shared" si="1"/>
        <v>0.83798583134133053</v>
      </c>
      <c r="F35" s="156">
        <v>1.0449350054882296</v>
      </c>
      <c r="G35" s="156">
        <v>1.0430048727599039</v>
      </c>
      <c r="H35" s="156">
        <v>0.96507856423852489</v>
      </c>
      <c r="I35" s="156">
        <v>1.0520842903271861</v>
      </c>
      <c r="J35" s="246">
        <v>1.0917717199332031</v>
      </c>
      <c r="K35" s="269">
        <v>1.015485230730947</v>
      </c>
      <c r="L35" s="157">
        <f t="shared" si="1"/>
        <v>1.0284139123590488</v>
      </c>
      <c r="M35" s="158">
        <f t="shared" si="1"/>
        <v>0.97158608764095133</v>
      </c>
      <c r="O35" s="88">
        <f t="shared" si="2"/>
        <v>1.0449350054882296</v>
      </c>
      <c r="P35" s="88">
        <f t="shared" si="5"/>
        <v>7.3327724498462308</v>
      </c>
    </row>
    <row r="36" spans="1:16" x14ac:dyDescent="0.2">
      <c r="A36" s="88">
        <f t="shared" si="3"/>
        <v>6.0670416013311428</v>
      </c>
      <c r="B36" s="2">
        <f t="shared" si="3"/>
        <v>292</v>
      </c>
      <c r="C36" s="155" t="str">
        <f t="shared" si="4"/>
        <v>PCB078</v>
      </c>
      <c r="D36" s="156">
        <f t="shared" si="1"/>
        <v>0.76387005014615261</v>
      </c>
      <c r="E36" s="156">
        <f t="shared" si="1"/>
        <v>0.85335566268181728</v>
      </c>
      <c r="F36" s="156">
        <v>0.95386056213085124</v>
      </c>
      <c r="G36" s="156">
        <v>0.94272766013340203</v>
      </c>
      <c r="H36" s="156">
        <v>0.92331471309845814</v>
      </c>
      <c r="I36" s="156">
        <v>0.93779446920041731</v>
      </c>
      <c r="J36" s="246">
        <v>0.95659268600912728</v>
      </c>
      <c r="K36" s="269">
        <v>0.95692950108791874</v>
      </c>
      <c r="L36" s="157">
        <f t="shared" si="1"/>
        <v>0.96877139112458788</v>
      </c>
      <c r="M36" s="158">
        <f t="shared" si="1"/>
        <v>1.0312286088754121</v>
      </c>
      <c r="O36" s="88"/>
      <c r="P36" s="88"/>
    </row>
    <row r="37" spans="1:16" x14ac:dyDescent="0.2">
      <c r="A37" s="88">
        <f t="shared" si="3"/>
        <v>6.6244385515080841</v>
      </c>
      <c r="B37" s="2">
        <f t="shared" si="3"/>
        <v>361</v>
      </c>
      <c r="C37" s="155" t="str">
        <f t="shared" si="4"/>
        <v>PCB145</v>
      </c>
      <c r="D37" s="156">
        <f t="shared" si="1"/>
        <v>0.84516477333434681</v>
      </c>
      <c r="E37" s="156">
        <f t="shared" si="1"/>
        <v>0.91651950000099458</v>
      </c>
      <c r="F37" s="156">
        <v>0.99798298605934455</v>
      </c>
      <c r="G37" s="156">
        <v>0.99652171126876765</v>
      </c>
      <c r="H37" s="156">
        <v>1.0223034154547321</v>
      </c>
      <c r="I37" s="156">
        <v>1.0309056600531064</v>
      </c>
      <c r="J37" s="246">
        <v>1.0135397178371857</v>
      </c>
      <c r="K37" s="269">
        <v>1.0215066869319649</v>
      </c>
      <c r="L37" s="157">
        <f t="shared" si="1"/>
        <v>0.95940220670105669</v>
      </c>
      <c r="M37" s="158">
        <f t="shared" si="1"/>
        <v>1.0405977932989432</v>
      </c>
      <c r="O37" s="88">
        <f t="shared" si="2"/>
        <v>0.99798298605934455</v>
      </c>
      <c r="P37" s="88">
        <f t="shared" si="5"/>
        <v>7.8264669364037429</v>
      </c>
    </row>
    <row r="38" spans="1:16" ht="13.5" thickBot="1" x14ac:dyDescent="0.25">
      <c r="A38" s="88">
        <f t="shared" si="3"/>
        <v>7.5869561263185288</v>
      </c>
      <c r="B38" s="2">
        <f t="shared" si="3"/>
        <v>430</v>
      </c>
      <c r="C38" s="159" t="str">
        <f t="shared" si="4"/>
        <v>PCB204</v>
      </c>
      <c r="D38" s="160">
        <f t="shared" si="1"/>
        <v>0.98389982110912733</v>
      </c>
      <c r="E38" s="160">
        <f t="shared" si="1"/>
        <v>0.9887640449438202</v>
      </c>
      <c r="F38" s="160">
        <v>1.0481564518098045</v>
      </c>
      <c r="G38" s="160">
        <v>1.0607506285978305</v>
      </c>
      <c r="H38" s="160">
        <v>1.0543818714468098</v>
      </c>
      <c r="I38" s="160">
        <v>1.0312998707464758</v>
      </c>
      <c r="J38" s="247">
        <v>1.0298675961536869</v>
      </c>
      <c r="K38" s="270">
        <v>1.0215638119801158</v>
      </c>
      <c r="L38" s="157">
        <f t="shared" si="1"/>
        <v>1.0036657917774758</v>
      </c>
      <c r="M38" s="158">
        <f t="shared" si="1"/>
        <v>0.99633420822252416</v>
      </c>
      <c r="O38" s="88">
        <f t="shared" si="2"/>
        <v>1.0481564518098045</v>
      </c>
      <c r="P38" s="88">
        <f t="shared" si="5"/>
        <v>8.8246863004409342</v>
      </c>
    </row>
    <row r="39" spans="1:16" ht="14.25" thickTop="1" thickBot="1" x14ac:dyDescent="0.25"/>
    <row r="40" spans="1:16" x14ac:dyDescent="0.2">
      <c r="C40" s="161" t="s">
        <v>208</v>
      </c>
      <c r="D40" s="127" t="s">
        <v>222</v>
      </c>
      <c r="E40" s="127" t="s">
        <v>223</v>
      </c>
      <c r="F40" s="162">
        <v>3</v>
      </c>
      <c r="G40" s="162">
        <v>4</v>
      </c>
      <c r="H40" s="162">
        <v>5</v>
      </c>
      <c r="I40" s="162">
        <v>6</v>
      </c>
      <c r="J40" s="248">
        <v>7</v>
      </c>
      <c r="K40" s="271">
        <v>8</v>
      </c>
      <c r="L40" s="260"/>
      <c r="M40" s="161"/>
    </row>
    <row r="41" spans="1:16" x14ac:dyDescent="0.2">
      <c r="A41" s="123" t="s">
        <v>226</v>
      </c>
      <c r="C41" s="163" t="s">
        <v>14</v>
      </c>
      <c r="D41" s="151">
        <v>22.36</v>
      </c>
      <c r="E41" s="130">
        <f>E3</f>
        <v>22.25</v>
      </c>
      <c r="F41" s="130">
        <f t="shared" ref="F41:K41" si="6">F3</f>
        <v>19.12</v>
      </c>
      <c r="G41" s="130">
        <f t="shared" si="6"/>
        <v>20.2</v>
      </c>
      <c r="H41" s="130">
        <f t="shared" si="6"/>
        <v>19.18</v>
      </c>
      <c r="I41" s="130">
        <f t="shared" si="6"/>
        <v>19.97</v>
      </c>
      <c r="J41" s="240">
        <f t="shared" si="6"/>
        <v>19.66</v>
      </c>
      <c r="K41" s="263">
        <f t="shared" si="6"/>
        <v>19.09</v>
      </c>
      <c r="L41" s="130"/>
      <c r="M41" s="151"/>
    </row>
    <row r="42" spans="1:16" x14ac:dyDescent="0.2">
      <c r="A42" s="123" t="s">
        <v>225</v>
      </c>
      <c r="C42" s="226" t="s">
        <v>15</v>
      </c>
      <c r="D42" s="165">
        <v>164</v>
      </c>
      <c r="E42" s="132">
        <f>E4</f>
        <v>112</v>
      </c>
      <c r="F42" s="132">
        <f t="shared" ref="F42:K42" si="7">F4</f>
        <v>28</v>
      </c>
      <c r="G42" s="132">
        <f t="shared" si="7"/>
        <v>34</v>
      </c>
      <c r="H42" s="132">
        <f t="shared" si="7"/>
        <v>63</v>
      </c>
      <c r="I42" s="132">
        <f t="shared" si="7"/>
        <v>41</v>
      </c>
      <c r="J42" s="241">
        <f t="shared" si="7"/>
        <v>28</v>
      </c>
      <c r="K42" s="264">
        <f t="shared" si="7"/>
        <v>35</v>
      </c>
      <c r="L42" s="130"/>
      <c r="M42" s="151"/>
    </row>
    <row r="43" spans="1:16" ht="13.5" thickBot="1" x14ac:dyDescent="0.25"/>
    <row r="44" spans="1:16" ht="13.5" thickBot="1" x14ac:dyDescent="0.25">
      <c r="C44" s="166" t="s">
        <v>2</v>
      </c>
      <c r="D44" s="167">
        <f>'Rs kalkulace Altesil MW'!F23</f>
        <v>274.48484569488403</v>
      </c>
      <c r="E44" s="167">
        <f>'Rs kalkulace Altesil MW'!G23</f>
        <v>158.81100018237649</v>
      </c>
      <c r="F44" s="167">
        <f>'Rs kalkulace Altesil MW'!H23</f>
        <v>287.3850248804298</v>
      </c>
      <c r="G44" s="167">
        <f>'Rs kalkulace Altesil MW'!I23</f>
        <v>919.58847140071703</v>
      </c>
      <c r="H44" s="167">
        <f>'Rs kalkulace Altesil MW'!J23</f>
        <v>373.8040635503279</v>
      </c>
      <c r="I44" s="167">
        <f>'Rs kalkulace Altesil MW'!K23</f>
        <v>450.84108245757625</v>
      </c>
      <c r="J44" s="249">
        <f>'Rs kalkulace Altesil MW'!L23</f>
        <v>403.38933574665839</v>
      </c>
      <c r="K44" s="272">
        <f>'Rs kalkulace Altesil MW'!M23</f>
        <v>292.91557068484349</v>
      </c>
      <c r="O44" s="2"/>
    </row>
    <row r="45" spans="1:16" x14ac:dyDescent="0.2">
      <c r="A45" s="153" t="s">
        <v>214</v>
      </c>
      <c r="B45" s="153" t="s">
        <v>215</v>
      </c>
    </row>
    <row r="46" spans="1:16" x14ac:dyDescent="0.2">
      <c r="A46" s="88">
        <f>A6</f>
        <v>3.6289126722102099</v>
      </c>
      <c r="B46" s="2">
        <f>B6</f>
        <v>164</v>
      </c>
      <c r="C46" s="168" t="str">
        <f>C25</f>
        <v>BIP-D10</v>
      </c>
      <c r="D46" s="169">
        <f>EXP(-D$42*D$44*$B6^-0.47/10^$A6/(D$41/1000))</f>
        <v>2.0064012554035744E-19</v>
      </c>
      <c r="E46" s="170">
        <f t="shared" ref="E46:K46" si="8">EXP(-E$42*E$44*$B6^-0.47/10^$A6/(E$41/1000))</f>
        <v>3.7632357058449244E-8</v>
      </c>
      <c r="F46" s="170">
        <f t="shared" si="8"/>
        <v>1.2340344320602961E-4</v>
      </c>
      <c r="G46" s="170">
        <f t="shared" si="8"/>
        <v>4.2143166597892117E-15</v>
      </c>
      <c r="H46" s="170">
        <f t="shared" si="8"/>
        <v>3.9508296667120936E-12</v>
      </c>
      <c r="I46" s="170">
        <f t="shared" si="8"/>
        <v>2.5319071152517936E-9</v>
      </c>
      <c r="J46" s="250">
        <f t="shared" si="8"/>
        <v>4.6160295019426068E-6</v>
      </c>
      <c r="K46" s="273">
        <f t="shared" si="8"/>
        <v>1.0287462278583536E-5</v>
      </c>
      <c r="L46" s="172"/>
      <c r="O46" s="88"/>
      <c r="P46" s="88"/>
    </row>
    <row r="47" spans="1:16" x14ac:dyDescent="0.2">
      <c r="A47" s="88">
        <f t="shared" ref="A47:B59" si="9">A7</f>
        <v>4.22</v>
      </c>
      <c r="B47" s="2">
        <f t="shared" si="9"/>
        <v>188.5</v>
      </c>
      <c r="C47" s="168" t="str">
        <f t="shared" ref="C47:C59" si="10">C26</f>
        <v>PCB001</v>
      </c>
      <c r="D47" s="171">
        <f t="shared" ref="D47:K59" si="11">EXP(-D$42*D$44*$B7^-0.47/10^$A7/(D$41/1000))</f>
        <v>3.2334681567623668E-5</v>
      </c>
      <c r="E47" s="172">
        <f t="shared" si="11"/>
        <v>1.6480810662829085E-2</v>
      </c>
      <c r="F47" s="172">
        <f t="shared" si="11"/>
        <v>0.11516217762853857</v>
      </c>
      <c r="G47" s="172">
        <f t="shared" si="11"/>
        <v>3.5293597608678716E-4</v>
      </c>
      <c r="H47" s="172">
        <f t="shared" si="11"/>
        <v>1.8256999871386584E-3</v>
      </c>
      <c r="I47" s="172">
        <f t="shared" si="11"/>
        <v>8.6196328242633246E-3</v>
      </c>
      <c r="J47" s="251">
        <f t="shared" si="11"/>
        <v>5.231106372067168E-2</v>
      </c>
      <c r="K47" s="274">
        <f t="shared" si="11"/>
        <v>6.3412850087209122E-2</v>
      </c>
      <c r="L47" s="172"/>
      <c r="O47" s="88"/>
      <c r="P47" s="88"/>
    </row>
    <row r="48" spans="1:16" x14ac:dyDescent="0.2">
      <c r="A48" s="88">
        <f t="shared" si="9"/>
        <v>4.41</v>
      </c>
      <c r="B48" s="2">
        <f t="shared" si="9"/>
        <v>188.5</v>
      </c>
      <c r="C48" s="168" t="str">
        <f t="shared" si="10"/>
        <v>PCB002</v>
      </c>
      <c r="D48" s="171">
        <f t="shared" si="11"/>
        <v>1.2612423187785447E-3</v>
      </c>
      <c r="E48" s="172">
        <f t="shared" si="11"/>
        <v>7.0596744316393581E-2</v>
      </c>
      <c r="F48" s="172">
        <f t="shared" si="11"/>
        <v>0.24770270360762225</v>
      </c>
      <c r="G48" s="172">
        <f t="shared" si="11"/>
        <v>5.9020825188681502E-3</v>
      </c>
      <c r="H48" s="172">
        <f t="shared" si="11"/>
        <v>1.705415943090715E-2</v>
      </c>
      <c r="I48" s="172">
        <f t="shared" si="11"/>
        <v>4.6455762321615267E-2</v>
      </c>
      <c r="J48" s="251">
        <f t="shared" si="11"/>
        <v>0.1488176722821867</v>
      </c>
      <c r="K48" s="274">
        <f t="shared" si="11"/>
        <v>0.16850806464832882</v>
      </c>
      <c r="L48" s="172"/>
      <c r="O48" s="88"/>
      <c r="P48" s="88"/>
    </row>
    <row r="49" spans="1:16" x14ac:dyDescent="0.2">
      <c r="A49" s="88">
        <f t="shared" si="9"/>
        <v>4.3600000000000003</v>
      </c>
      <c r="B49" s="2">
        <f t="shared" si="9"/>
        <v>188.5</v>
      </c>
      <c r="C49" s="168" t="str">
        <f t="shared" si="10"/>
        <v>PCB003</v>
      </c>
      <c r="D49" s="171">
        <f t="shared" si="11"/>
        <v>5.585247884744432E-4</v>
      </c>
      <c r="E49" s="172">
        <f t="shared" si="11"/>
        <v>5.1087559742179232E-2</v>
      </c>
      <c r="F49" s="172">
        <f t="shared" si="11"/>
        <v>0.20891956521217334</v>
      </c>
      <c r="G49" s="172">
        <f t="shared" si="11"/>
        <v>3.1551992243118465E-3</v>
      </c>
      <c r="H49" s="172">
        <f t="shared" si="11"/>
        <v>1.037721912101479E-2</v>
      </c>
      <c r="I49" s="172">
        <f t="shared" si="11"/>
        <v>3.1944332843755814E-2</v>
      </c>
      <c r="J49" s="251">
        <f t="shared" si="11"/>
        <v>0.11795139702890468</v>
      </c>
      <c r="K49" s="274">
        <f t="shared" si="11"/>
        <v>0.13559826813447598</v>
      </c>
      <c r="L49" s="172"/>
      <c r="O49" s="88"/>
      <c r="P49" s="88"/>
    </row>
    <row r="50" spans="1:16" x14ac:dyDescent="0.2">
      <c r="A50" s="88">
        <f t="shared" si="9"/>
        <v>4.5807477196850215</v>
      </c>
      <c r="B50" s="2">
        <f t="shared" si="9"/>
        <v>223</v>
      </c>
      <c r="C50" s="168" t="str">
        <f t="shared" si="10"/>
        <v>PCB010</v>
      </c>
      <c r="D50" s="171">
        <f t="shared" si="11"/>
        <v>1.5555883002736104E-2</v>
      </c>
      <c r="E50" s="172">
        <f t="shared" si="11"/>
        <v>0.19144202522339387</v>
      </c>
      <c r="F50" s="172">
        <f t="shared" si="11"/>
        <v>0.41881389012496129</v>
      </c>
      <c r="G50" s="172">
        <f t="shared" si="11"/>
        <v>4.0726148684753195E-2</v>
      </c>
      <c r="H50" s="172">
        <f t="shared" si="11"/>
        <v>7.8935032905724289E-2</v>
      </c>
      <c r="I50" s="172">
        <f t="shared" si="11"/>
        <v>0.14746562975964891</v>
      </c>
      <c r="J50" s="251">
        <f t="shared" si="11"/>
        <v>0.30480406202072441</v>
      </c>
      <c r="K50" s="274">
        <f t="shared" si="11"/>
        <v>0.32936473840417918</v>
      </c>
      <c r="L50" s="172"/>
      <c r="O50" s="88"/>
      <c r="P50" s="88"/>
    </row>
    <row r="51" spans="1:16" x14ac:dyDescent="0.2">
      <c r="A51" s="88">
        <f t="shared" si="9"/>
        <v>5.1126693807304999</v>
      </c>
      <c r="B51" s="2">
        <f t="shared" si="9"/>
        <v>223</v>
      </c>
      <c r="C51" s="168" t="str">
        <f t="shared" si="10"/>
        <v>PCB014</v>
      </c>
      <c r="D51" s="171">
        <f t="shared" si="11"/>
        <v>0.29427012929142532</v>
      </c>
      <c r="E51" s="172">
        <f t="shared" si="11"/>
        <v>0.61524721755868617</v>
      </c>
      <c r="F51" s="172">
        <f t="shared" si="11"/>
        <v>0.77436016534966523</v>
      </c>
      <c r="G51" s="172">
        <f t="shared" si="11"/>
        <v>0.39044136413571584</v>
      </c>
      <c r="H51" s="172">
        <f t="shared" si="11"/>
        <v>0.47423986751092911</v>
      </c>
      <c r="I51" s="172">
        <f t="shared" si="11"/>
        <v>0.5698314692130888</v>
      </c>
      <c r="J51" s="251">
        <f t="shared" si="11"/>
        <v>0.70533596579126323</v>
      </c>
      <c r="K51" s="274">
        <f t="shared" si="11"/>
        <v>0.72158063587217258</v>
      </c>
      <c r="L51" s="172"/>
      <c r="O51" s="88"/>
      <c r="P51" s="88"/>
    </row>
    <row r="52" spans="1:16" x14ac:dyDescent="0.2">
      <c r="A52" s="88">
        <f t="shared" si="9"/>
        <v>5.3808401792380556</v>
      </c>
      <c r="B52" s="2">
        <f t="shared" si="9"/>
        <v>257.5</v>
      </c>
      <c r="C52" s="168" t="str">
        <f t="shared" si="10"/>
        <v>PCB021</v>
      </c>
      <c r="D52" s="171">
        <f t="shared" si="11"/>
        <v>0.53979079918861017</v>
      </c>
      <c r="E52" s="172">
        <f t="shared" si="11"/>
        <v>0.78283828155207547</v>
      </c>
      <c r="F52" s="172">
        <f t="shared" si="11"/>
        <v>0.87906815998157495</v>
      </c>
      <c r="G52" s="172">
        <f t="shared" si="11"/>
        <v>0.62248194698494963</v>
      </c>
      <c r="H52" s="172">
        <f t="shared" si="11"/>
        <v>0.68657698472538853</v>
      </c>
      <c r="I52" s="172">
        <f t="shared" si="11"/>
        <v>0.75315751032547706</v>
      </c>
      <c r="J52" s="251">
        <f t="shared" si="11"/>
        <v>0.83865849485244603</v>
      </c>
      <c r="K52" s="274">
        <f t="shared" si="11"/>
        <v>0.84833922208032464</v>
      </c>
      <c r="L52" s="172"/>
      <c r="O52" s="88"/>
      <c r="P52" s="88"/>
    </row>
    <row r="53" spans="1:16" x14ac:dyDescent="0.2">
      <c r="A53" s="88">
        <f t="shared" si="9"/>
        <v>5.2150772759290298</v>
      </c>
      <c r="B53" s="2">
        <f t="shared" si="9"/>
        <v>257.5</v>
      </c>
      <c r="C53" s="168" t="str">
        <f t="shared" si="10"/>
        <v>PCB030</v>
      </c>
      <c r="D53" s="171">
        <f t="shared" si="11"/>
        <v>0.40530112884384573</v>
      </c>
      <c r="E53" s="172">
        <f t="shared" si="11"/>
        <v>0.69864468397253554</v>
      </c>
      <c r="F53" s="172">
        <f t="shared" si="11"/>
        <v>0.82795578355330313</v>
      </c>
      <c r="G53" s="172">
        <f t="shared" si="11"/>
        <v>0.49939891178281276</v>
      </c>
      <c r="H53" s="172">
        <f t="shared" si="11"/>
        <v>0.57648883166516163</v>
      </c>
      <c r="I53" s="172">
        <f t="shared" si="11"/>
        <v>0.66018969702046504</v>
      </c>
      <c r="J53" s="251">
        <f t="shared" si="11"/>
        <v>0.7728078136703983</v>
      </c>
      <c r="K53" s="274">
        <f t="shared" si="11"/>
        <v>0.78590922901726412</v>
      </c>
      <c r="L53" s="172"/>
      <c r="O53" s="88"/>
      <c r="P53" s="88"/>
    </row>
    <row r="54" spans="1:16" x14ac:dyDescent="0.2">
      <c r="A54" s="88">
        <f t="shared" si="9"/>
        <v>5.7103808749838159</v>
      </c>
      <c r="B54" s="2">
        <f t="shared" si="9"/>
        <v>292</v>
      </c>
      <c r="C54" s="168" t="str">
        <f t="shared" si="10"/>
        <v>PCB050</v>
      </c>
      <c r="D54" s="171">
        <f t="shared" si="11"/>
        <v>0.76175370666083897</v>
      </c>
      <c r="E54" s="172">
        <f t="shared" si="11"/>
        <v>0.89757534615632706</v>
      </c>
      <c r="F54" s="172">
        <f t="shared" si="11"/>
        <v>0.94469952374819266</v>
      </c>
      <c r="G54" s="172">
        <f t="shared" si="11"/>
        <v>0.81121399211072653</v>
      </c>
      <c r="H54" s="172">
        <f t="shared" si="11"/>
        <v>0.84707308465956288</v>
      </c>
      <c r="I54" s="172">
        <f t="shared" si="11"/>
        <v>0.88239311298102274</v>
      </c>
      <c r="J54" s="251">
        <f t="shared" si="11"/>
        <v>0.92528050182029298</v>
      </c>
      <c r="K54" s="274">
        <f t="shared" si="11"/>
        <v>0.92997940774927335</v>
      </c>
      <c r="L54" s="172"/>
      <c r="O54" s="88"/>
      <c r="P54" s="88"/>
    </row>
    <row r="55" spans="1:16" x14ac:dyDescent="0.2">
      <c r="A55" s="88">
        <f t="shared" si="9"/>
        <v>5.9910108136063922</v>
      </c>
      <c r="B55" s="2">
        <f t="shared" si="9"/>
        <v>292</v>
      </c>
      <c r="C55" s="168" t="str">
        <f t="shared" si="10"/>
        <v>PCB055</v>
      </c>
      <c r="D55" s="171">
        <f t="shared" si="11"/>
        <v>0.8670922579651148</v>
      </c>
      <c r="E55" s="172">
        <f t="shared" si="11"/>
        <v>0.94494594127974219</v>
      </c>
      <c r="F55" s="172">
        <f t="shared" si="11"/>
        <v>0.97062783380895257</v>
      </c>
      <c r="G55" s="172">
        <f t="shared" si="11"/>
        <v>0.89615414050867237</v>
      </c>
      <c r="H55" s="172">
        <f t="shared" si="11"/>
        <v>0.91669987082357385</v>
      </c>
      <c r="I55" s="172">
        <f t="shared" si="11"/>
        <v>0.93653584302364046</v>
      </c>
      <c r="J55" s="251">
        <f t="shared" si="11"/>
        <v>0.96012038185836224</v>
      </c>
      <c r="K55" s="274">
        <f t="shared" si="11"/>
        <v>0.96267246738160117</v>
      </c>
      <c r="L55" s="172"/>
      <c r="O55" s="88"/>
      <c r="P55" s="88"/>
    </row>
    <row r="56" spans="1:16" x14ac:dyDescent="0.2">
      <c r="A56" s="88">
        <f t="shared" si="9"/>
        <v>6.1512473526090172</v>
      </c>
      <c r="B56" s="2">
        <f t="shared" si="9"/>
        <v>326.5</v>
      </c>
      <c r="C56" s="168" t="str">
        <f t="shared" si="10"/>
        <v>PCB104</v>
      </c>
      <c r="D56" s="171">
        <f t="shared" si="11"/>
        <v>0.91067792884797871</v>
      </c>
      <c r="E56" s="172">
        <f t="shared" si="11"/>
        <v>0.96352851864512412</v>
      </c>
      <c r="F56" s="172">
        <f t="shared" si="11"/>
        <v>0.98063036578860596</v>
      </c>
      <c r="G56" s="172">
        <f t="shared" si="11"/>
        <v>0.93059009245861513</v>
      </c>
      <c r="H56" s="172">
        <f t="shared" si="11"/>
        <v>0.94453345545034639</v>
      </c>
      <c r="I56" s="172">
        <f t="shared" si="11"/>
        <v>0.95789352058483046</v>
      </c>
      <c r="J56" s="251">
        <f t="shared" si="11"/>
        <v>0.97365238266602883</v>
      </c>
      <c r="K56" s="274">
        <f t="shared" si="11"/>
        <v>0.97534962345720133</v>
      </c>
      <c r="L56" s="172"/>
      <c r="O56" s="88"/>
      <c r="P56" s="88"/>
    </row>
    <row r="57" spans="1:16" x14ac:dyDescent="0.2">
      <c r="A57" s="88">
        <f t="shared" si="9"/>
        <v>6.0670416013311428</v>
      </c>
      <c r="B57" s="2">
        <f t="shared" si="9"/>
        <v>292</v>
      </c>
      <c r="C57" s="168" t="str">
        <f t="shared" si="10"/>
        <v>PCB078</v>
      </c>
      <c r="D57" s="171">
        <f t="shared" si="11"/>
        <v>0.88718050573951868</v>
      </c>
      <c r="E57" s="172">
        <f t="shared" si="11"/>
        <v>0.9535788143975733</v>
      </c>
      <c r="F57" s="172">
        <f t="shared" si="11"/>
        <v>0.97528616743573127</v>
      </c>
      <c r="G57" s="172">
        <f t="shared" si="11"/>
        <v>0.91207390147983436</v>
      </c>
      <c r="H57" s="172">
        <f t="shared" si="11"/>
        <v>0.9295943352653856</v>
      </c>
      <c r="I57" s="172">
        <f t="shared" si="11"/>
        <v>0.94644977108466699</v>
      </c>
      <c r="J57" s="251">
        <f t="shared" si="11"/>
        <v>0.96641614136281584</v>
      </c>
      <c r="K57" s="274">
        <f t="shared" si="11"/>
        <v>0.96857195050802791</v>
      </c>
      <c r="L57" s="172"/>
      <c r="O57" s="88"/>
      <c r="P57" s="88"/>
    </row>
    <row r="58" spans="1:16" x14ac:dyDescent="0.2">
      <c r="A58" s="88">
        <f t="shared" si="9"/>
        <v>6.6244385515080841</v>
      </c>
      <c r="B58" s="2">
        <f t="shared" si="9"/>
        <v>361</v>
      </c>
      <c r="C58" s="168" t="str">
        <f t="shared" si="10"/>
        <v>PCB145</v>
      </c>
      <c r="D58" s="171">
        <f t="shared" si="11"/>
        <v>0.97042526643356719</v>
      </c>
      <c r="E58" s="172">
        <f t="shared" si="11"/>
        <v>0.98815007294847446</v>
      </c>
      <c r="F58" s="172">
        <f t="shared" si="11"/>
        <v>0.99374387688560373</v>
      </c>
      <c r="G58" s="172">
        <f t="shared" si="11"/>
        <v>0.97718335425812375</v>
      </c>
      <c r="H58" s="172">
        <f t="shared" si="11"/>
        <v>0.98185740919772946</v>
      </c>
      <c r="I58" s="172">
        <f t="shared" si="11"/>
        <v>0.98629217408775249</v>
      </c>
      <c r="J58" s="251">
        <f t="shared" si="11"/>
        <v>0.99146952905542507</v>
      </c>
      <c r="K58" s="274">
        <f t="shared" si="11"/>
        <v>0.99202373032415969</v>
      </c>
      <c r="L58" s="172"/>
      <c r="O58" s="88"/>
      <c r="P58" s="88"/>
    </row>
    <row r="59" spans="1:16" x14ac:dyDescent="0.2">
      <c r="A59" s="88">
        <f t="shared" si="9"/>
        <v>7.5869561263185288</v>
      </c>
      <c r="B59" s="2">
        <f t="shared" si="9"/>
        <v>430</v>
      </c>
      <c r="C59" s="168" t="str">
        <f t="shared" si="10"/>
        <v>PCB204</v>
      </c>
      <c r="D59" s="173">
        <f t="shared" si="11"/>
        <v>0.99699011632566081</v>
      </c>
      <c r="E59" s="174">
        <f t="shared" si="11"/>
        <v>0.99880374877474454</v>
      </c>
      <c r="F59" s="174">
        <f t="shared" si="11"/>
        <v>0.99937004264969653</v>
      </c>
      <c r="G59" s="174">
        <f t="shared" si="11"/>
        <v>0.99768510335114213</v>
      </c>
      <c r="H59" s="174">
        <f t="shared" si="11"/>
        <v>0.9981632480348267</v>
      </c>
      <c r="I59" s="174">
        <f t="shared" si="11"/>
        <v>0.99861502460491314</v>
      </c>
      <c r="J59" s="252">
        <f t="shared" si="11"/>
        <v>0.99914014375898041</v>
      </c>
      <c r="K59" s="275">
        <f t="shared" si="11"/>
        <v>0.99919620800973719</v>
      </c>
      <c r="L59" s="172"/>
      <c r="O59" s="88"/>
      <c r="P59" s="88"/>
    </row>
    <row r="60" spans="1:16" ht="13.5" thickBot="1" x14ac:dyDescent="0.25"/>
    <row r="61" spans="1:16" x14ac:dyDescent="0.2">
      <c r="A61" s="123" t="s">
        <v>227</v>
      </c>
      <c r="C61" s="175" t="e">
        <f>SUM(D62:K75)</f>
        <v>#VALUE!</v>
      </c>
      <c r="D61" s="176" t="e">
        <f>SUM(D62:D75)</f>
        <v>#VALUE!</v>
      </c>
      <c r="E61" s="177" t="e">
        <f t="shared" ref="E61:K61" si="12">SUM(E62:E75)</f>
        <v>#VALUE!</v>
      </c>
      <c r="F61" s="177">
        <f t="shared" si="12"/>
        <v>1.0312227775910885</v>
      </c>
      <c r="G61" s="177">
        <f t="shared" si="12"/>
        <v>0.87132974284969633</v>
      </c>
      <c r="H61" s="177">
        <f t="shared" si="12"/>
        <v>9.6831662710933769E-2</v>
      </c>
      <c r="I61" s="177">
        <f t="shared" si="12"/>
        <v>8.9054426092125813E-2</v>
      </c>
      <c r="J61" s="253">
        <f t="shared" si="12"/>
        <v>6.1619540837589762E-2</v>
      </c>
      <c r="K61" s="276">
        <f t="shared" si="12"/>
        <v>3.8872800136651245E-2</v>
      </c>
      <c r="L61" s="179"/>
    </row>
    <row r="62" spans="1:16" x14ac:dyDescent="0.2">
      <c r="C62" s="178" t="str">
        <f>C6</f>
        <v>BIP-D10</v>
      </c>
      <c r="D62" s="177" t="e">
        <f t="shared" ref="D62:K75" si="13">(D46-D25)^2</f>
        <v>#VALUE!</v>
      </c>
      <c r="E62" s="177" t="e">
        <f t="shared" si="13"/>
        <v>#VALUE!</v>
      </c>
      <c r="F62" s="177">
        <f t="shared" si="13"/>
        <v>5.4174397527161884E-5</v>
      </c>
      <c r="G62" s="177">
        <f t="shared" si="13"/>
        <v>1.0723527880319487E-4</v>
      </c>
      <c r="H62" s="177">
        <f t="shared" si="13"/>
        <v>2.3347542179764647E-3</v>
      </c>
      <c r="I62" s="177">
        <f t="shared" si="13"/>
        <v>1.7014940437926468E-3</v>
      </c>
      <c r="J62" s="253">
        <f t="shared" si="13"/>
        <v>3.0093759980505193E-3</v>
      </c>
      <c r="K62" s="276">
        <f t="shared" si="13"/>
        <v>2.4329514676749973E-3</v>
      </c>
      <c r="L62" s="179"/>
    </row>
    <row r="63" spans="1:16" x14ac:dyDescent="0.2">
      <c r="C63" s="178" t="str">
        <f t="shared" ref="C63:C75" si="14">C7</f>
        <v>PCB001</v>
      </c>
      <c r="D63" s="179">
        <f t="shared" si="13"/>
        <v>2.749533986832615E-5</v>
      </c>
      <c r="E63" s="179">
        <f t="shared" si="13"/>
        <v>2.3566732451407717E-5</v>
      </c>
      <c r="F63" s="179">
        <f t="shared" si="13"/>
        <v>3.5235314696042046E-7</v>
      </c>
      <c r="G63" s="179">
        <f t="shared" si="13"/>
        <v>1.6115077660140802E-2</v>
      </c>
      <c r="H63" s="179">
        <f t="shared" si="13"/>
        <v>4.6960353205267244E-3</v>
      </c>
      <c r="I63" s="179">
        <f t="shared" si="13"/>
        <v>1.5654613335378614E-3</v>
      </c>
      <c r="J63" s="254">
        <f t="shared" si="13"/>
        <v>1.1848912896841922E-3</v>
      </c>
      <c r="K63" s="277">
        <f t="shared" si="13"/>
        <v>3.7952444471516852E-3</v>
      </c>
      <c r="L63" s="179"/>
    </row>
    <row r="64" spans="1:16" x14ac:dyDescent="0.2">
      <c r="C64" s="178" t="str">
        <f t="shared" si="14"/>
        <v>PCB002</v>
      </c>
      <c r="D64" s="179">
        <f t="shared" si="13"/>
        <v>4.6357305332110675E-4</v>
      </c>
      <c r="E64" s="179">
        <f t="shared" si="13"/>
        <v>3.3998008115119989E-4</v>
      </c>
      <c r="F64" s="179">
        <f t="shared" si="13"/>
        <v>1.8759041935996427E-2</v>
      </c>
      <c r="G64" s="179">
        <f t="shared" si="13"/>
        <v>1.1136906863059601E-2</v>
      </c>
      <c r="H64" s="179">
        <f t="shared" si="13"/>
        <v>3.3298461523749647E-3</v>
      </c>
      <c r="I64" s="179">
        <f t="shared" si="13"/>
        <v>1.3822108471564588E-4</v>
      </c>
      <c r="J64" s="254">
        <f t="shared" si="13"/>
        <v>2.3904549797844144E-3</v>
      </c>
      <c r="K64" s="277">
        <f t="shared" si="13"/>
        <v>2.1401357393691797E-4</v>
      </c>
      <c r="L64" s="179"/>
    </row>
    <row r="65" spans="1:15" x14ac:dyDescent="0.2">
      <c r="C65" s="178" t="str">
        <f t="shared" si="14"/>
        <v>PCB003</v>
      </c>
      <c r="D65" s="179">
        <f t="shared" si="13"/>
        <v>3.0419266010270525E-4</v>
      </c>
      <c r="E65" s="179">
        <f t="shared" si="13"/>
        <v>3.3098105049818924E-9</v>
      </c>
      <c r="F65" s="179">
        <f t="shared" si="13"/>
        <v>6.5163349676203661E-3</v>
      </c>
      <c r="G65" s="179">
        <f t="shared" si="13"/>
        <v>1.4544698550991376E-2</v>
      </c>
      <c r="H65" s="179">
        <f t="shared" si="13"/>
        <v>3.8996687811179188E-3</v>
      </c>
      <c r="I65" s="179">
        <f t="shared" si="13"/>
        <v>8.9838876324067256E-4</v>
      </c>
      <c r="J65" s="254">
        <f t="shared" si="13"/>
        <v>2.6456337731177791E-3</v>
      </c>
      <c r="K65" s="277">
        <f t="shared" si="13"/>
        <v>6.4523561155021723E-4</v>
      </c>
      <c r="L65" s="179"/>
    </row>
    <row r="66" spans="1:15" x14ac:dyDescent="0.2">
      <c r="C66" s="178" t="str">
        <f t="shared" si="14"/>
        <v>PCB010</v>
      </c>
      <c r="D66" s="179">
        <f t="shared" si="13"/>
        <v>4.2639377575129497E-4</v>
      </c>
      <c r="E66" s="179">
        <f t="shared" si="13"/>
        <v>5.2667808588641443E-3</v>
      </c>
      <c r="F66" s="179">
        <f t="shared" si="13"/>
        <v>4.1871114861776089E-2</v>
      </c>
      <c r="G66" s="179">
        <f t="shared" si="13"/>
        <v>5.9587357254083775E-2</v>
      </c>
      <c r="H66" s="179">
        <f t="shared" si="13"/>
        <v>9.5887313401727791E-4</v>
      </c>
      <c r="I66" s="179">
        <f t="shared" si="13"/>
        <v>3.0283226963301582E-6</v>
      </c>
      <c r="J66" s="254">
        <f t="shared" si="13"/>
        <v>2.6549078249333436E-3</v>
      </c>
      <c r="K66" s="277">
        <f t="shared" si="13"/>
        <v>2.2215192288044801E-3</v>
      </c>
      <c r="L66" s="179"/>
    </row>
    <row r="67" spans="1:15" x14ac:dyDescent="0.2">
      <c r="C67" s="178" t="str">
        <f t="shared" si="14"/>
        <v>PCB014</v>
      </c>
      <c r="D67" s="179">
        <f t="shared" si="13"/>
        <v>1.0071051546648169E-2</v>
      </c>
      <c r="E67" s="179">
        <f t="shared" si="13"/>
        <v>1.4516818809124563E-3</v>
      </c>
      <c r="F67" s="179">
        <f t="shared" si="13"/>
        <v>1.0787648924178874E-2</v>
      </c>
      <c r="G67" s="179">
        <f t="shared" si="13"/>
        <v>2.3972143151122704E-3</v>
      </c>
      <c r="H67" s="179">
        <f t="shared" si="13"/>
        <v>4.1332386511539554E-3</v>
      </c>
      <c r="I67" s="179">
        <f t="shared" si="13"/>
        <v>1.2615403340746329E-2</v>
      </c>
      <c r="J67" s="254">
        <f t="shared" si="13"/>
        <v>2.8771350439456115E-4</v>
      </c>
      <c r="K67" s="277">
        <f t="shared" si="13"/>
        <v>1.0245839938462594E-4</v>
      </c>
      <c r="L67" s="179"/>
    </row>
    <row r="68" spans="1:15" x14ac:dyDescent="0.2">
      <c r="C68" s="178" t="str">
        <f t="shared" si="14"/>
        <v>PCB021</v>
      </c>
      <c r="D68" s="179">
        <f t="shared" si="13"/>
        <v>8.8672417445683788E-3</v>
      </c>
      <c r="E68" s="179">
        <f t="shared" si="13"/>
        <v>3.9605982299236158E-6</v>
      </c>
      <c r="F68" s="179">
        <f t="shared" si="13"/>
        <v>5.3768205168501663E-2</v>
      </c>
      <c r="G68" s="179">
        <f t="shared" si="13"/>
        <v>3.4887635357500911E-2</v>
      </c>
      <c r="H68" s="179">
        <f t="shared" si="13"/>
        <v>2.8993360748237367E-2</v>
      </c>
      <c r="I68" s="179">
        <f t="shared" si="13"/>
        <v>1.9725447364869569E-2</v>
      </c>
      <c r="J68" s="254">
        <f t="shared" si="13"/>
        <v>9.7650444297677705E-3</v>
      </c>
      <c r="K68" s="277">
        <f t="shared" si="13"/>
        <v>1.4443784462596468E-2</v>
      </c>
      <c r="L68" s="179"/>
    </row>
    <row r="69" spans="1:15" x14ac:dyDescent="0.2">
      <c r="C69" s="178" t="str">
        <f t="shared" si="14"/>
        <v>PCB030</v>
      </c>
      <c r="D69" s="179">
        <f t="shared" si="13"/>
        <v>8.0326429069236538E-2</v>
      </c>
      <c r="E69" s="179">
        <f t="shared" si="13"/>
        <v>1.958284783978325E-2</v>
      </c>
      <c r="F69" s="179">
        <f t="shared" si="13"/>
        <v>1.1085758945373803E-7</v>
      </c>
      <c r="G69" s="179">
        <f t="shared" si="13"/>
        <v>5.6547182189284964E-2</v>
      </c>
      <c r="H69" s="179">
        <f t="shared" si="13"/>
        <v>4.0968161854056218E-2</v>
      </c>
      <c r="I69" s="179">
        <f t="shared" si="13"/>
        <v>2.9983250152296876E-2</v>
      </c>
      <c r="J69" s="254">
        <f t="shared" si="13"/>
        <v>1.3174451504079221E-2</v>
      </c>
      <c r="K69" s="277">
        <f t="shared" si="13"/>
        <v>6.9811292919090421E-3</v>
      </c>
      <c r="L69" s="179"/>
    </row>
    <row r="70" spans="1:15" x14ac:dyDescent="0.2">
      <c r="C70" s="178" t="str">
        <f t="shared" si="14"/>
        <v>PCB050</v>
      </c>
      <c r="D70" s="179">
        <f t="shared" si="13"/>
        <v>6.1049596539362261E-2</v>
      </c>
      <c r="E70" s="179">
        <f t="shared" si="13"/>
        <v>4.9877919915908599E-2</v>
      </c>
      <c r="F70" s="179">
        <f t="shared" si="13"/>
        <v>0.89245719017006198</v>
      </c>
      <c r="G70" s="179">
        <f t="shared" si="13"/>
        <v>0.65806814099622191</v>
      </c>
      <c r="H70" s="179">
        <f t="shared" si="13"/>
        <v>1.0980497773139491E-3</v>
      </c>
      <c r="I70" s="179">
        <f t="shared" si="13"/>
        <v>2.4847208093773409E-3</v>
      </c>
      <c r="J70" s="254">
        <f t="shared" si="13"/>
        <v>2.8455117205029795E-3</v>
      </c>
      <c r="K70" s="277">
        <f t="shared" si="13"/>
        <v>2.7604276373603283E-3</v>
      </c>
      <c r="L70" s="179"/>
    </row>
    <row r="71" spans="1:15" x14ac:dyDescent="0.2">
      <c r="C71" s="178" t="str">
        <f t="shared" si="14"/>
        <v>PCB055</v>
      </c>
      <c r="D71" s="179">
        <f t="shared" si="13"/>
        <v>1.9573500142192326E-4</v>
      </c>
      <c r="E71" s="179">
        <f t="shared" si="13"/>
        <v>7.0406842211701254E-4</v>
      </c>
      <c r="F71" s="179">
        <f t="shared" si="13"/>
        <v>1.6376939786314548E-5</v>
      </c>
      <c r="G71" s="179">
        <f t="shared" si="13"/>
        <v>1.0326108207494489E-5</v>
      </c>
      <c r="H71" s="179">
        <f t="shared" si="13"/>
        <v>1.1617258840015945E-3</v>
      </c>
      <c r="I71" s="179">
        <f t="shared" si="13"/>
        <v>7.9335332242091456E-3</v>
      </c>
      <c r="J71" s="254">
        <f t="shared" si="13"/>
        <v>8.1816081382210977E-3</v>
      </c>
      <c r="K71" s="277">
        <f t="shared" si="13"/>
        <v>2.1600679788369164E-3</v>
      </c>
      <c r="L71" s="179"/>
    </row>
    <row r="72" spans="1:15" x14ac:dyDescent="0.2">
      <c r="C72" s="178" t="str">
        <f t="shared" si="14"/>
        <v>PCB104</v>
      </c>
      <c r="D72" s="179">
        <f t="shared" si="13"/>
        <v>4.8451109144401594E-2</v>
      </c>
      <c r="E72" s="179">
        <f t="shared" si="13"/>
        <v>1.5760966335458097E-2</v>
      </c>
      <c r="F72" s="179">
        <f t="shared" si="13"/>
        <v>4.1350866868984119E-3</v>
      </c>
      <c r="G72" s="179">
        <f t="shared" si="13"/>
        <v>1.2637082830187033E-2</v>
      </c>
      <c r="H72" s="179">
        <f t="shared" si="13"/>
        <v>4.2210149511808946E-4</v>
      </c>
      <c r="I72" s="179">
        <f t="shared" si="13"/>
        <v>8.8719011046574561E-3</v>
      </c>
      <c r="J72" s="254">
        <f t="shared" si="13"/>
        <v>1.3952177836436465E-2</v>
      </c>
      <c r="K72" s="277">
        <f t="shared" si="13"/>
        <v>1.6108669712323451E-3</v>
      </c>
      <c r="L72" s="179"/>
    </row>
    <row r="73" spans="1:15" x14ac:dyDescent="0.2">
      <c r="C73" s="178" t="str">
        <f t="shared" si="14"/>
        <v>PCB078</v>
      </c>
      <c r="D73" s="179">
        <f t="shared" si="13"/>
        <v>1.5205468458643505E-2</v>
      </c>
      <c r="E73" s="179">
        <f t="shared" si="13"/>
        <v>1.0044680139839449E-2</v>
      </c>
      <c r="F73" s="179">
        <f t="shared" si="13"/>
        <v>4.5905656268050305E-4</v>
      </c>
      <c r="G73" s="179">
        <f t="shared" si="13"/>
        <v>9.3965291959117515E-4</v>
      </c>
      <c r="H73" s="179">
        <f t="shared" si="13"/>
        <v>3.9433654559366683E-5</v>
      </c>
      <c r="I73" s="179">
        <f t="shared" si="13"/>
        <v>7.4914250707496018E-5</v>
      </c>
      <c r="J73" s="254">
        <f t="shared" si="13"/>
        <v>9.6500275085912424E-5</v>
      </c>
      <c r="K73" s="277">
        <f t="shared" si="13"/>
        <v>1.3554662849980033E-4</v>
      </c>
      <c r="L73" s="179"/>
    </row>
    <row r="74" spans="1:15" x14ac:dyDescent="0.2">
      <c r="C74" s="178" t="str">
        <f t="shared" si="14"/>
        <v>PCB145</v>
      </c>
      <c r="D74" s="179">
        <f t="shared" si="13"/>
        <v>1.5690191131459839E-2</v>
      </c>
      <c r="E74" s="179">
        <f t="shared" si="13"/>
        <v>5.1309389807842358E-3</v>
      </c>
      <c r="F74" s="179">
        <f t="shared" si="13"/>
        <v>1.7970046586893562E-5</v>
      </c>
      <c r="G74" s="179">
        <f t="shared" si="13"/>
        <v>3.7397205187112017E-4</v>
      </c>
      <c r="H74" s="179">
        <f t="shared" si="13"/>
        <v>1.6358794221414995E-3</v>
      </c>
      <c r="I74" s="179">
        <f t="shared" si="13"/>
        <v>1.9903631299808258E-3</v>
      </c>
      <c r="J74" s="254">
        <f t="shared" si="13"/>
        <v>4.8709323286255104E-4</v>
      </c>
      <c r="K74" s="277">
        <f t="shared" si="13"/>
        <v>8.6924473033772424E-4</v>
      </c>
      <c r="L74" s="179"/>
    </row>
    <row r="75" spans="1:15" x14ac:dyDescent="0.2">
      <c r="C75" s="178" t="str">
        <f t="shared" si="14"/>
        <v>PCB204</v>
      </c>
      <c r="D75" s="180">
        <f t="shared" si="13"/>
        <v>1.713558288559995E-4</v>
      </c>
      <c r="E75" s="180">
        <f t="shared" si="13"/>
        <v>1.0079565301267688E-4</v>
      </c>
      <c r="F75" s="180">
        <f t="shared" si="13"/>
        <v>2.3801137187374711E-3</v>
      </c>
      <c r="G75" s="180">
        <f t="shared" si="13"/>
        <v>3.977260474640692E-3</v>
      </c>
      <c r="H75" s="180">
        <f t="shared" si="13"/>
        <v>3.1605336183383784E-3</v>
      </c>
      <c r="I75" s="180">
        <f t="shared" si="13"/>
        <v>1.0682991672976221E-3</v>
      </c>
      <c r="J75" s="255">
        <f t="shared" si="13"/>
        <v>9.4417633066895632E-4</v>
      </c>
      <c r="K75" s="278">
        <f t="shared" si="13"/>
        <v>5.0030970737569762E-4</v>
      </c>
      <c r="L75" s="179"/>
    </row>
    <row r="79" spans="1:15" s="183" customFormat="1" ht="13.5" thickBot="1" x14ac:dyDescent="0.25">
      <c r="A79" s="181" t="s">
        <v>221</v>
      </c>
      <c r="B79" s="182"/>
      <c r="C79" s="182"/>
      <c r="D79" s="182"/>
      <c r="E79" s="182"/>
      <c r="F79" s="182"/>
      <c r="G79" s="182"/>
      <c r="H79" s="182"/>
      <c r="I79" s="182"/>
      <c r="J79" s="256"/>
      <c r="K79" s="279"/>
      <c r="L79" s="182"/>
      <c r="M79" s="182"/>
      <c r="N79" s="182"/>
      <c r="O79" s="182"/>
    </row>
    <row r="80" spans="1:15" x14ac:dyDescent="0.2">
      <c r="A80" s="184">
        <v>3</v>
      </c>
      <c r="B80" s="185">
        <f t="shared" ref="B80:B128" si="15">$A80*SLOPE($B$5:$B$19,$A$5:$A$19)+INTERCEPT($B$5:$B$19,$A$5:$A$19)</f>
        <v>100.79231143681</v>
      </c>
      <c r="C80" s="184">
        <f>LOG(10^A80*B80^0.47)</f>
        <v>3.9416108802787493</v>
      </c>
      <c r="D80" s="184">
        <f>EXP(-D$42*D$44*$B80^-0.47/10^$A80/(D$41/1000))</f>
        <v>9.6671058419490478E-101</v>
      </c>
      <c r="E80" s="184">
        <f t="shared" ref="E80:K95" si="16">EXP(-E$42*E$44*$B80^-0.47/10^$A80/(E$41/1000))</f>
        <v>1.9326242521650493E-40</v>
      </c>
      <c r="F80" s="184">
        <f t="shared" si="16"/>
        <v>1.2366028991333804E-21</v>
      </c>
      <c r="G80" s="184">
        <f t="shared" si="16"/>
        <v>1.2753759552227924E-77</v>
      </c>
      <c r="H80" s="184">
        <f t="shared" si="16"/>
        <v>1.0066320908033427E-61</v>
      </c>
      <c r="I80" s="184">
        <f t="shared" si="16"/>
        <v>1.0385507751287533E-46</v>
      </c>
      <c r="J80" s="257">
        <f t="shared" si="16"/>
        <v>2.8760158478210277E-29</v>
      </c>
      <c r="K80" s="280">
        <f t="shared" si="16"/>
        <v>2.091608494129558E-27</v>
      </c>
      <c r="L80" s="186"/>
      <c r="M80" s="186"/>
      <c r="N80" s="186"/>
      <c r="O80" s="184">
        <f t="shared" ref="O80:O128" si="17">INDEX($C$21:$K$128,ROW()-ROW($C$21)+1,MATCH(Q$21,$C$21:$K$21,0))</f>
        <v>1.2366028991333804E-21</v>
      </c>
    </row>
    <row r="81" spans="1:15" x14ac:dyDescent="0.2">
      <c r="A81" s="184">
        <f>A80+0.125</f>
        <v>3.125</v>
      </c>
      <c r="B81" s="185">
        <f t="shared" si="15"/>
        <v>109.39156326988044</v>
      </c>
      <c r="C81" s="184">
        <f t="shared" ref="C81:C128" si="18">LOG(10^A81*B81^0.47)</f>
        <v>4.0833223994894805</v>
      </c>
      <c r="D81" s="184">
        <f t="shared" ref="D81:K125" si="19">EXP(-D$42*D$44*$B81^-0.47/10^$A81/(D$41/1000))</f>
        <v>6.772150860491984E-73</v>
      </c>
      <c r="E81" s="184">
        <f t="shared" si="16"/>
        <v>2.2030013057107076E-29</v>
      </c>
      <c r="F81" s="184">
        <f t="shared" si="16"/>
        <v>8.1890361181586294E-16</v>
      </c>
      <c r="G81" s="184">
        <f t="shared" si="16"/>
        <v>3.2663011992149477E-56</v>
      </c>
      <c r="H81" s="184">
        <f t="shared" si="16"/>
        <v>9.6668898611766363E-45</v>
      </c>
      <c r="I81" s="184">
        <f t="shared" si="16"/>
        <v>6.5897481965113739E-34</v>
      </c>
      <c r="J81" s="257">
        <f t="shared" si="16"/>
        <v>2.5412373803942863E-21</v>
      </c>
      <c r="K81" s="280">
        <f t="shared" si="16"/>
        <v>5.6029303539909833E-20</v>
      </c>
      <c r="L81" s="186"/>
      <c r="M81" s="186"/>
      <c r="N81" s="186"/>
      <c r="O81" s="184">
        <f t="shared" si="17"/>
        <v>8.1890361181586294E-16</v>
      </c>
    </row>
    <row r="82" spans="1:15" x14ac:dyDescent="0.2">
      <c r="A82" s="184">
        <f t="shared" ref="A82:A116" si="20">A81+0.125</f>
        <v>3.25</v>
      </c>
      <c r="B82" s="185">
        <f t="shared" si="15"/>
        <v>117.99081510295088</v>
      </c>
      <c r="C82" s="184">
        <f t="shared" si="18"/>
        <v>4.2237686546243962</v>
      </c>
      <c r="D82" s="184">
        <f t="shared" si="19"/>
        <v>5.911224430027123E-53</v>
      </c>
      <c r="E82" s="184">
        <f t="shared" si="16"/>
        <v>1.8246111263666236E-21</v>
      </c>
      <c r="F82" s="184">
        <f t="shared" si="16"/>
        <v>1.2073354102191837E-11</v>
      </c>
      <c r="G82" s="184">
        <f t="shared" si="16"/>
        <v>7.0027539899064606E-41</v>
      </c>
      <c r="H82" s="184">
        <f t="shared" si="16"/>
        <v>1.4025105193659045E-32</v>
      </c>
      <c r="I82" s="184">
        <f t="shared" si="16"/>
        <v>9.7069390341326091E-25</v>
      </c>
      <c r="J82" s="257">
        <f t="shared" si="16"/>
        <v>1.2462263215262662E-15</v>
      </c>
      <c r="K82" s="280">
        <f t="shared" si="16"/>
        <v>1.1689151129188806E-14</v>
      </c>
      <c r="L82" s="186"/>
      <c r="M82" s="186"/>
      <c r="N82" s="186"/>
      <c r="O82" s="184">
        <f t="shared" si="17"/>
        <v>1.2073354102191837E-11</v>
      </c>
    </row>
    <row r="83" spans="1:15" x14ac:dyDescent="0.2">
      <c r="A83" s="184">
        <f t="shared" si="20"/>
        <v>3.375</v>
      </c>
      <c r="B83" s="185">
        <f t="shared" si="15"/>
        <v>126.59006693602132</v>
      </c>
      <c r="C83" s="184">
        <f t="shared" si="18"/>
        <v>4.3631278258666342</v>
      </c>
      <c r="D83" s="184">
        <f t="shared" si="19"/>
        <v>1.2824909121311994E-38</v>
      </c>
      <c r="E83" s="184">
        <f t="shared" si="16"/>
        <v>8.9920944211338989E-16</v>
      </c>
      <c r="F83" s="184">
        <f t="shared" si="16"/>
        <v>1.1989579108557766E-8</v>
      </c>
      <c r="G83" s="184">
        <f t="shared" si="16"/>
        <v>7.3707840917348971E-30</v>
      </c>
      <c r="H83" s="184">
        <f t="shared" si="16"/>
        <v>7.7696031749284155E-24</v>
      </c>
      <c r="I83" s="184">
        <f t="shared" si="16"/>
        <v>3.7887097933832298E-18</v>
      </c>
      <c r="J83" s="257">
        <f t="shared" si="16"/>
        <v>1.5373424265980876E-11</v>
      </c>
      <c r="K83" s="280">
        <f t="shared" si="16"/>
        <v>7.8000455014296227E-11</v>
      </c>
      <c r="L83" s="186"/>
      <c r="M83" s="186"/>
      <c r="N83" s="186"/>
      <c r="O83" s="184">
        <f t="shared" si="17"/>
        <v>1.1989579108557766E-8</v>
      </c>
    </row>
    <row r="84" spans="1:15" x14ac:dyDescent="0.2">
      <c r="A84" s="184">
        <f t="shared" si="20"/>
        <v>3.5</v>
      </c>
      <c r="B84" s="185">
        <f t="shared" si="15"/>
        <v>135.18931876909176</v>
      </c>
      <c r="C84" s="184">
        <f t="shared" si="18"/>
        <v>4.5015429184129259</v>
      </c>
      <c r="D84" s="184">
        <f t="shared" si="19"/>
        <v>2.8141825858332386E-28</v>
      </c>
      <c r="E84" s="184">
        <f t="shared" si="16"/>
        <v>1.1486425925097378E-11</v>
      </c>
      <c r="F84" s="184">
        <f t="shared" si="16"/>
        <v>1.7402868674774621E-6</v>
      </c>
      <c r="G84" s="184">
        <f t="shared" si="16"/>
        <v>6.5799066577707813E-22</v>
      </c>
      <c r="H84" s="184">
        <f t="shared" si="16"/>
        <v>1.5753112744888828E-17</v>
      </c>
      <c r="I84" s="184">
        <f t="shared" si="16"/>
        <v>2.1532302595479134E-13</v>
      </c>
      <c r="J84" s="257">
        <f t="shared" si="16"/>
        <v>1.3736248445692672E-8</v>
      </c>
      <c r="K84" s="280">
        <f t="shared" si="16"/>
        <v>4.4740429061629227E-8</v>
      </c>
      <c r="L84" s="186"/>
      <c r="M84" s="186"/>
      <c r="N84" s="186"/>
      <c r="O84" s="184">
        <f t="shared" si="17"/>
        <v>1.7402868674774621E-6</v>
      </c>
    </row>
    <row r="85" spans="1:15" x14ac:dyDescent="0.2">
      <c r="A85" s="184">
        <f t="shared" si="20"/>
        <v>3.625</v>
      </c>
      <c r="B85" s="185">
        <f t="shared" si="15"/>
        <v>143.7885706021622</v>
      </c>
      <c r="C85" s="184">
        <f t="shared" si="18"/>
        <v>4.6391304522195531</v>
      </c>
      <c r="D85" s="184">
        <f t="shared" si="19"/>
        <v>8.5141816906853573E-21</v>
      </c>
      <c r="E85" s="184">
        <f t="shared" si="16"/>
        <v>1.0731447839564157E-8</v>
      </c>
      <c r="F85" s="184">
        <f t="shared" si="16"/>
        <v>6.3746652829120511E-5</v>
      </c>
      <c r="G85" s="184">
        <f t="shared" si="16"/>
        <v>3.7126181667360648E-16</v>
      </c>
      <c r="H85" s="184">
        <f t="shared" si="16"/>
        <v>5.7512610874498076E-13</v>
      </c>
      <c r="I85" s="184">
        <f t="shared" si="16"/>
        <v>5.9226971775591675E-10</v>
      </c>
      <c r="J85" s="257">
        <f t="shared" si="16"/>
        <v>1.8735371918699008E-6</v>
      </c>
      <c r="K85" s="280">
        <f t="shared" si="16"/>
        <v>4.4283887112874525E-6</v>
      </c>
      <c r="L85" s="186"/>
      <c r="M85" s="186"/>
      <c r="N85" s="186"/>
      <c r="O85" s="184">
        <f t="shared" si="17"/>
        <v>6.3746652829120511E-5</v>
      </c>
    </row>
    <row r="86" spans="1:15" x14ac:dyDescent="0.2">
      <c r="A86" s="184">
        <f t="shared" si="20"/>
        <v>3.75</v>
      </c>
      <c r="B86" s="185">
        <f t="shared" si="15"/>
        <v>152.38782243523264</v>
      </c>
      <c r="C86" s="184">
        <f t="shared" si="18"/>
        <v>4.7759866237014643</v>
      </c>
      <c r="D86" s="184">
        <f t="shared" si="19"/>
        <v>2.264867202380836E-15</v>
      </c>
      <c r="E86" s="184">
        <f t="shared" si="16"/>
        <v>1.5303060945990715E-6</v>
      </c>
      <c r="F86" s="184">
        <f t="shared" si="16"/>
        <v>8.6799296298957398E-4</v>
      </c>
      <c r="G86" s="184">
        <f t="shared" si="16"/>
        <v>5.5018548298641936E-12</v>
      </c>
      <c r="H86" s="184">
        <f t="shared" si="16"/>
        <v>1.1703338588772236E-9</v>
      </c>
      <c r="I86" s="184">
        <f t="shared" si="16"/>
        <v>1.8480576998874347E-7</v>
      </c>
      <c r="J86" s="257">
        <f t="shared" si="16"/>
        <v>6.6186082480053487E-5</v>
      </c>
      <c r="K86" s="280">
        <f t="shared" si="16"/>
        <v>1.239852922460861E-4</v>
      </c>
      <c r="L86" s="186"/>
      <c r="M86" s="186"/>
      <c r="N86" s="186"/>
      <c r="O86" s="184">
        <f t="shared" si="17"/>
        <v>8.6799296298957398E-4</v>
      </c>
    </row>
    <row r="87" spans="1:15" x14ac:dyDescent="0.2">
      <c r="A87" s="184">
        <f t="shared" si="20"/>
        <v>3.875</v>
      </c>
      <c r="B87" s="185">
        <f t="shared" si="15"/>
        <v>160.9870742683031</v>
      </c>
      <c r="C87" s="184">
        <f t="shared" si="18"/>
        <v>4.912191773625203</v>
      </c>
      <c r="D87" s="184">
        <f t="shared" si="19"/>
        <v>1.9840660972047984E-11</v>
      </c>
      <c r="E87" s="184">
        <f t="shared" si="16"/>
        <v>5.6269373771979777E-5</v>
      </c>
      <c r="F87" s="184">
        <f t="shared" si="16"/>
        <v>5.7901077321434614E-3</v>
      </c>
      <c r="G87" s="184">
        <f t="shared" si="16"/>
        <v>5.9106324874589322E-9</v>
      </c>
      <c r="H87" s="184">
        <f t="shared" si="16"/>
        <v>2.9701351934656379E-7</v>
      </c>
      <c r="I87" s="184">
        <f t="shared" si="16"/>
        <v>1.2004871054876845E-5</v>
      </c>
      <c r="J87" s="257">
        <f t="shared" si="16"/>
        <v>8.8275914837419184E-4</v>
      </c>
      <c r="K87" s="280">
        <f t="shared" si="16"/>
        <v>1.3965586153326217E-3</v>
      </c>
      <c r="L87" s="186"/>
      <c r="M87" s="186"/>
      <c r="N87" s="186"/>
      <c r="O87" s="184">
        <f t="shared" si="17"/>
        <v>5.7901077321434614E-3</v>
      </c>
    </row>
    <row r="88" spans="1:15" x14ac:dyDescent="0.2">
      <c r="A88" s="184">
        <f t="shared" si="20"/>
        <v>4</v>
      </c>
      <c r="B88" s="185">
        <f t="shared" si="15"/>
        <v>169.58632610137352</v>
      </c>
      <c r="C88" s="184">
        <f t="shared" si="18"/>
        <v>5.047813690934758</v>
      </c>
      <c r="D88" s="184">
        <f t="shared" si="19"/>
        <v>1.4730241490824098E-8</v>
      </c>
      <c r="E88" s="184">
        <f t="shared" si="16"/>
        <v>7.7651825497640308E-4</v>
      </c>
      <c r="F88" s="184">
        <f t="shared" si="16"/>
        <v>2.3056218559550517E-2</v>
      </c>
      <c r="G88" s="184">
        <f t="shared" si="16"/>
        <v>9.5209505136422957E-7</v>
      </c>
      <c r="H88" s="184">
        <f t="shared" si="16"/>
        <v>1.6731510885897554E-5</v>
      </c>
      <c r="I88" s="184">
        <f t="shared" si="16"/>
        <v>2.5072207307994638E-4</v>
      </c>
      <c r="J88" s="257">
        <f t="shared" si="16"/>
        <v>5.8215824001327356E-3</v>
      </c>
      <c r="K88" s="280">
        <f t="shared" si="16"/>
        <v>8.1437268557303186E-3</v>
      </c>
      <c r="L88" s="186"/>
      <c r="M88" s="186"/>
      <c r="N88" s="186"/>
      <c r="O88" s="184">
        <f t="shared" si="17"/>
        <v>2.3056218559550517E-2</v>
      </c>
    </row>
    <row r="89" spans="1:15" x14ac:dyDescent="0.2">
      <c r="A89" s="184">
        <f t="shared" si="20"/>
        <v>4.125</v>
      </c>
      <c r="B89" s="185">
        <f t="shared" si="15"/>
        <v>178.18557793444393</v>
      </c>
      <c r="C89" s="184">
        <f t="shared" si="18"/>
        <v>5.1829100984993008</v>
      </c>
      <c r="D89" s="184">
        <f t="shared" si="19"/>
        <v>1.8278727761565501E-6</v>
      </c>
      <c r="E89" s="184">
        <f t="shared" si="16"/>
        <v>5.2666286189068257E-3</v>
      </c>
      <c r="F89" s="184">
        <f t="shared" si="16"/>
        <v>6.3165108560935573E-2</v>
      </c>
      <c r="G89" s="184">
        <f t="shared" si="16"/>
        <v>3.8762218980464037E-5</v>
      </c>
      <c r="H89" s="184">
        <f t="shared" si="16"/>
        <v>3.1656749502012609E-4</v>
      </c>
      <c r="I89" s="184">
        <f t="shared" si="16"/>
        <v>2.3005182382520818E-3</v>
      </c>
      <c r="J89" s="257">
        <f t="shared" si="16"/>
        <v>2.3042563167891092E-2</v>
      </c>
      <c r="K89" s="280">
        <f t="shared" si="16"/>
        <v>2.9467263716215848E-2</v>
      </c>
      <c r="L89" s="186"/>
      <c r="M89" s="186"/>
      <c r="N89" s="186"/>
      <c r="O89" s="184">
        <f t="shared" si="17"/>
        <v>6.3165108560935573E-2</v>
      </c>
    </row>
    <row r="90" spans="1:15" x14ac:dyDescent="0.2">
      <c r="A90" s="184">
        <f t="shared" si="20"/>
        <v>4.25</v>
      </c>
      <c r="B90" s="185">
        <f t="shared" si="15"/>
        <v>186.7848297675144</v>
      </c>
      <c r="C90" s="184">
        <f t="shared" si="18"/>
        <v>5.3175305524378382</v>
      </c>
      <c r="D90" s="184">
        <f t="shared" si="19"/>
        <v>6.1849576488019292E-5</v>
      </c>
      <c r="E90" s="184">
        <f t="shared" si="16"/>
        <v>2.1321776935954845E-2</v>
      </c>
      <c r="F90" s="184">
        <f t="shared" si="16"/>
        <v>0.13188388660221476</v>
      </c>
      <c r="G90" s="184">
        <f t="shared" si="16"/>
        <v>5.81100178183435E-4</v>
      </c>
      <c r="H90" s="184">
        <f t="shared" si="16"/>
        <v>2.7115251352786427E-3</v>
      </c>
      <c r="I90" s="184">
        <f t="shared" si="16"/>
        <v>1.1614240061632844E-2</v>
      </c>
      <c r="J90" s="257">
        <f t="shared" si="16"/>
        <v>6.2946737378100623E-2</v>
      </c>
      <c r="K90" s="280">
        <f t="shared" si="16"/>
        <v>7.5390032813110588E-2</v>
      </c>
      <c r="L90" s="186"/>
      <c r="M90" s="186"/>
      <c r="N90" s="186"/>
      <c r="O90" s="184">
        <f t="shared" si="17"/>
        <v>0.13188388660221476</v>
      </c>
    </row>
    <row r="91" spans="1:15" x14ac:dyDescent="0.2">
      <c r="A91" s="184">
        <f t="shared" si="20"/>
        <v>4.375</v>
      </c>
      <c r="B91" s="185">
        <f t="shared" si="15"/>
        <v>195.38408160058486</v>
      </c>
      <c r="C91" s="184">
        <f t="shared" si="18"/>
        <v>5.45171791358195</v>
      </c>
      <c r="D91" s="184">
        <f t="shared" si="19"/>
        <v>8.1285263269636901E-4</v>
      </c>
      <c r="E91" s="184">
        <f t="shared" si="16"/>
        <v>5.9296226503250067E-2</v>
      </c>
      <c r="F91" s="184">
        <f t="shared" si="16"/>
        <v>0.22596821941279618</v>
      </c>
      <c r="G91" s="184">
        <f t="shared" si="16"/>
        <v>4.210392814734139E-3</v>
      </c>
      <c r="H91" s="184">
        <f t="shared" si="16"/>
        <v>1.3045868800235786E-2</v>
      </c>
      <c r="I91" s="184">
        <f t="shared" si="16"/>
        <v>3.7959627366496843E-2</v>
      </c>
      <c r="J91" s="257">
        <f t="shared" si="16"/>
        <v>0.13128335818247047</v>
      </c>
      <c r="K91" s="280">
        <f t="shared" si="16"/>
        <v>0.14987430909734575</v>
      </c>
      <c r="L91" s="186"/>
      <c r="M91" s="186"/>
      <c r="N91" s="186"/>
      <c r="O91" s="184">
        <f t="shared" si="17"/>
        <v>0.22596821941279618</v>
      </c>
    </row>
    <row r="92" spans="1:15" x14ac:dyDescent="0.2">
      <c r="A92" s="184">
        <f t="shared" si="20"/>
        <v>4.5</v>
      </c>
      <c r="B92" s="185">
        <f t="shared" si="15"/>
        <v>203.98333343365528</v>
      </c>
      <c r="C92" s="184">
        <f t="shared" si="18"/>
        <v>5.5855095017689012</v>
      </c>
      <c r="D92" s="184">
        <f t="shared" si="19"/>
        <v>5.3613159011360583E-3</v>
      </c>
      <c r="E92" s="184">
        <f t="shared" si="16"/>
        <v>0.1254119054804359</v>
      </c>
      <c r="F92" s="184">
        <f t="shared" si="16"/>
        <v>0.33520546338154655</v>
      </c>
      <c r="G92" s="184">
        <f t="shared" si="16"/>
        <v>1.7955372878671588E-2</v>
      </c>
      <c r="H92" s="184">
        <f t="shared" si="16"/>
        <v>4.1221554514990315E-2</v>
      </c>
      <c r="I92" s="184">
        <f t="shared" si="16"/>
        <v>9.0363153435953275E-2</v>
      </c>
      <c r="J92" s="257">
        <f t="shared" si="16"/>
        <v>0.22490643861563306</v>
      </c>
      <c r="K92" s="280">
        <f t="shared" si="16"/>
        <v>0.24789603538325933</v>
      </c>
      <c r="L92" s="186"/>
      <c r="M92" s="186"/>
      <c r="N92" s="186"/>
      <c r="O92" s="184">
        <f t="shared" si="17"/>
        <v>0.33520546338154655</v>
      </c>
    </row>
    <row r="93" spans="1:15" x14ac:dyDescent="0.2">
      <c r="A93" s="184">
        <f t="shared" si="20"/>
        <v>4.625</v>
      </c>
      <c r="B93" s="185">
        <f t="shared" si="15"/>
        <v>212.58258526672569</v>
      </c>
      <c r="C93" s="184">
        <f t="shared" si="18"/>
        <v>5.7189380116238606</v>
      </c>
      <c r="D93" s="184">
        <f t="shared" si="19"/>
        <v>2.1375787959029006E-2</v>
      </c>
      <c r="E93" s="184">
        <f t="shared" si="16"/>
        <v>0.21719271041882843</v>
      </c>
      <c r="F93" s="184">
        <f t="shared" si="16"/>
        <v>0.44758476829816274</v>
      </c>
      <c r="G93" s="184">
        <f t="shared" si="16"/>
        <v>5.1998770760768885E-2</v>
      </c>
      <c r="H93" s="184">
        <f t="shared" si="16"/>
        <v>9.5818685321740413E-2</v>
      </c>
      <c r="I93" s="184">
        <f t="shared" si="16"/>
        <v>0.17066774011152927</v>
      </c>
      <c r="J93" s="257">
        <f t="shared" si="16"/>
        <v>0.333741078936585</v>
      </c>
      <c r="K93" s="280">
        <f t="shared" si="16"/>
        <v>0.35850626765576254</v>
      </c>
      <c r="L93" s="186"/>
      <c r="M93" s="186"/>
      <c r="N93" s="186"/>
      <c r="O93" s="184">
        <f t="shared" si="17"/>
        <v>0.44758476829816274</v>
      </c>
    </row>
    <row r="94" spans="1:15" x14ac:dyDescent="0.2">
      <c r="A94" s="184">
        <f t="shared" si="20"/>
        <v>4.75</v>
      </c>
      <c r="B94" s="185">
        <f t="shared" si="15"/>
        <v>221.18183709979616</v>
      </c>
      <c r="C94" s="184">
        <f t="shared" si="18"/>
        <v>5.8520322466316399</v>
      </c>
      <c r="D94" s="184">
        <f t="shared" si="19"/>
        <v>5.8985270968403461E-2</v>
      </c>
      <c r="E94" s="184">
        <f t="shared" si="16"/>
        <v>0.32500248900512441</v>
      </c>
      <c r="F94" s="184">
        <f t="shared" si="16"/>
        <v>0.55338538089472444</v>
      </c>
      <c r="G94" s="184">
        <f t="shared" si="16"/>
        <v>0.11347758427595052</v>
      </c>
      <c r="H94" s="184">
        <f t="shared" si="16"/>
        <v>0.17795045578390045</v>
      </c>
      <c r="I94" s="184">
        <f t="shared" si="16"/>
        <v>0.27216174799386844</v>
      </c>
      <c r="J94" s="257">
        <f t="shared" si="16"/>
        <v>0.44586865081063631</v>
      </c>
      <c r="K94" s="280">
        <f t="shared" si="16"/>
        <v>0.4699898800559657</v>
      </c>
      <c r="L94" s="186"/>
      <c r="M94" s="186"/>
      <c r="N94" s="186"/>
      <c r="O94" s="184">
        <f t="shared" si="17"/>
        <v>0.55338538089472444</v>
      </c>
    </row>
    <row r="95" spans="1:15" x14ac:dyDescent="0.2">
      <c r="A95" s="184">
        <f t="shared" si="20"/>
        <v>4.875</v>
      </c>
      <c r="B95" s="185">
        <f t="shared" si="15"/>
        <v>229.78108893286662</v>
      </c>
      <c r="C95" s="184">
        <f t="shared" si="18"/>
        <v>5.9848177131177689</v>
      </c>
      <c r="D95" s="184">
        <f t="shared" si="19"/>
        <v>0.12432702468681031</v>
      </c>
      <c r="E95" s="184">
        <f t="shared" si="16"/>
        <v>0.4369884488623525</v>
      </c>
      <c r="F95" s="184">
        <f t="shared" si="16"/>
        <v>0.64672802171558164</v>
      </c>
      <c r="G95" s="184">
        <f t="shared" si="16"/>
        <v>0.20131415203913061</v>
      </c>
      <c r="H95" s="184">
        <f t="shared" si="16"/>
        <v>0.28040914080221901</v>
      </c>
      <c r="I95" s="184">
        <f t="shared" si="16"/>
        <v>0.38345119918891135</v>
      </c>
      <c r="J95" s="257">
        <f t="shared" si="16"/>
        <v>0.5515895790047376</v>
      </c>
      <c r="K95" s="280">
        <f t="shared" si="16"/>
        <v>0.57341618807756234</v>
      </c>
      <c r="L95" s="186"/>
      <c r="M95" s="186"/>
      <c r="N95" s="186"/>
      <c r="O95" s="184">
        <f t="shared" si="17"/>
        <v>0.64672802171558164</v>
      </c>
    </row>
    <row r="96" spans="1:15" x14ac:dyDescent="0.2">
      <c r="A96" s="184">
        <f t="shared" si="20"/>
        <v>5</v>
      </c>
      <c r="B96" s="185">
        <f t="shared" si="15"/>
        <v>238.38034076593704</v>
      </c>
      <c r="C96" s="184">
        <f t="shared" si="18"/>
        <v>6.1173171050448651</v>
      </c>
      <c r="D96" s="184">
        <f t="shared" si="19"/>
        <v>0.21510173397059318</v>
      </c>
      <c r="E96" s="184">
        <f t="shared" si="19"/>
        <v>0.54325802475150409</v>
      </c>
      <c r="F96" s="184">
        <f t="shared" si="19"/>
        <v>0.72525584629810247</v>
      </c>
      <c r="G96" s="184">
        <f t="shared" si="19"/>
        <v>0.3068430113497102</v>
      </c>
      <c r="H96" s="184">
        <f t="shared" si="19"/>
        <v>0.39173447045889481</v>
      </c>
      <c r="I96" s="184">
        <f t="shared" si="19"/>
        <v>0.49336796340829459</v>
      </c>
      <c r="J96" s="257">
        <f t="shared" si="19"/>
        <v>0.64499523718078688</v>
      </c>
      <c r="K96" s="280">
        <f t="shared" si="19"/>
        <v>0.66371063539571351</v>
      </c>
      <c r="L96" s="186"/>
      <c r="M96" s="186"/>
      <c r="N96" s="186"/>
      <c r="O96" s="184">
        <f t="shared" si="17"/>
        <v>0.72525584629810247</v>
      </c>
    </row>
    <row r="97" spans="1:15" x14ac:dyDescent="0.2">
      <c r="A97" s="184">
        <f t="shared" si="20"/>
        <v>5.125</v>
      </c>
      <c r="B97" s="185">
        <f t="shared" si="15"/>
        <v>246.97959259900745</v>
      </c>
      <c r="C97" s="184">
        <f t="shared" si="18"/>
        <v>6.2495507028568982</v>
      </c>
      <c r="D97" s="184">
        <f t="shared" si="19"/>
        <v>0.32197334803478955</v>
      </c>
      <c r="E97" s="184">
        <f t="shared" si="19"/>
        <v>0.63762460263771403</v>
      </c>
      <c r="F97" s="184">
        <f t="shared" si="19"/>
        <v>0.78906222213595811</v>
      </c>
      <c r="G97" s="184">
        <f t="shared" si="19"/>
        <v>0.41840504268881024</v>
      </c>
      <c r="H97" s="184">
        <f t="shared" si="19"/>
        <v>0.50098926327424165</v>
      </c>
      <c r="I97" s="184">
        <f t="shared" si="19"/>
        <v>0.59389721855951449</v>
      </c>
      <c r="J97" s="257">
        <f t="shared" si="19"/>
        <v>0.72367989720547343</v>
      </c>
      <c r="K97" s="280">
        <f t="shared" si="19"/>
        <v>0.73910820685065781</v>
      </c>
      <c r="L97" s="186"/>
      <c r="M97" s="186"/>
      <c r="N97" s="186"/>
      <c r="O97" s="184">
        <f t="shared" si="17"/>
        <v>0.78906222213595811</v>
      </c>
    </row>
    <row r="98" spans="1:15" x14ac:dyDescent="0.2">
      <c r="A98" s="184">
        <f t="shared" si="20"/>
        <v>5.25</v>
      </c>
      <c r="B98" s="185">
        <f t="shared" si="15"/>
        <v>255.57884443207791</v>
      </c>
      <c r="C98" s="184">
        <f t="shared" si="18"/>
        <v>6.3815367040335156</v>
      </c>
      <c r="D98" s="184">
        <f t="shared" si="19"/>
        <v>0.4333178033235599</v>
      </c>
      <c r="E98" s="184">
        <f t="shared" si="19"/>
        <v>0.71743587057184888</v>
      </c>
      <c r="F98" s="184">
        <f t="shared" si="19"/>
        <v>0.83960595413555927</v>
      </c>
      <c r="G98" s="184">
        <f t="shared" si="19"/>
        <v>0.52573362994989248</v>
      </c>
      <c r="H98" s="184">
        <f t="shared" si="19"/>
        <v>0.60047506874051126</v>
      </c>
      <c r="I98" s="184">
        <f t="shared" si="19"/>
        <v>0.68079322038970458</v>
      </c>
      <c r="J98" s="257">
        <f t="shared" si="19"/>
        <v>0.78769018479554687</v>
      </c>
      <c r="K98" s="280">
        <f t="shared" si="19"/>
        <v>0.80004786961862306</v>
      </c>
      <c r="L98" s="186"/>
      <c r="M98" s="186"/>
      <c r="N98" s="186"/>
      <c r="O98" s="184">
        <f t="shared" si="17"/>
        <v>0.83960595413555927</v>
      </c>
    </row>
    <row r="99" spans="1:15" x14ac:dyDescent="0.2">
      <c r="A99" s="184">
        <f t="shared" si="20"/>
        <v>5.375</v>
      </c>
      <c r="B99" s="185">
        <f t="shared" si="15"/>
        <v>264.17809626514838</v>
      </c>
      <c r="C99" s="184">
        <f t="shared" si="18"/>
        <v>6.5132914989222064</v>
      </c>
      <c r="D99" s="184">
        <f t="shared" si="19"/>
        <v>0.53932014930112182</v>
      </c>
      <c r="E99" s="184">
        <f t="shared" si="19"/>
        <v>0.7825671769469541</v>
      </c>
      <c r="F99" s="184">
        <f t="shared" si="19"/>
        <v>0.87890787652703806</v>
      </c>
      <c r="G99" s="184">
        <f t="shared" si="19"/>
        <v>0.6220646226898876</v>
      </c>
      <c r="H99" s="184">
        <f t="shared" si="19"/>
        <v>0.68621182644568013</v>
      </c>
      <c r="I99" s="184">
        <f t="shared" si="19"/>
        <v>0.7528555155254093</v>
      </c>
      <c r="J99" s="257">
        <f t="shared" si="19"/>
        <v>0.83844975686536682</v>
      </c>
      <c r="K99" s="280">
        <f t="shared" si="19"/>
        <v>0.84814184575609664</v>
      </c>
      <c r="L99" s="186"/>
      <c r="M99" s="186"/>
      <c r="N99" s="186"/>
      <c r="O99" s="184">
        <f t="shared" si="17"/>
        <v>0.87890787652703806</v>
      </c>
    </row>
    <row r="100" spans="1:15" x14ac:dyDescent="0.2">
      <c r="A100" s="184">
        <f t="shared" si="20"/>
        <v>5.5</v>
      </c>
      <c r="B100" s="185">
        <f t="shared" si="15"/>
        <v>272.77734809821879</v>
      </c>
      <c r="C100" s="184">
        <f t="shared" si="18"/>
        <v>6.6448299023716721</v>
      </c>
      <c r="D100" s="184">
        <f t="shared" si="19"/>
        <v>0.63375016185597355</v>
      </c>
      <c r="E100" s="184">
        <f t="shared" si="19"/>
        <v>0.83434487876737118</v>
      </c>
      <c r="F100" s="184">
        <f t="shared" si="19"/>
        <v>0.90905796724792298</v>
      </c>
      <c r="G100" s="184">
        <f t="shared" si="19"/>
        <v>0.70422034307285308</v>
      </c>
      <c r="H100" s="184">
        <f t="shared" si="19"/>
        <v>0.757170142491429</v>
      </c>
      <c r="I100" s="184">
        <f t="shared" si="19"/>
        <v>0.81082708858711827</v>
      </c>
      <c r="J100" s="257">
        <f t="shared" si="19"/>
        <v>0.87795718653170951</v>
      </c>
      <c r="K100" s="280">
        <f t="shared" si="19"/>
        <v>0.88544270754503196</v>
      </c>
      <c r="L100" s="186"/>
      <c r="M100" s="186"/>
      <c r="N100" s="186"/>
      <c r="O100" s="184">
        <f t="shared" si="17"/>
        <v>0.90905796724792298</v>
      </c>
    </row>
    <row r="101" spans="1:15" x14ac:dyDescent="0.2">
      <c r="A101" s="184">
        <f t="shared" si="20"/>
        <v>5.625</v>
      </c>
      <c r="B101" s="185">
        <f t="shared" si="15"/>
        <v>281.37659993128921</v>
      </c>
      <c r="C101" s="184">
        <f t="shared" si="18"/>
        <v>6.7761653494019587</v>
      </c>
      <c r="D101" s="184">
        <f t="shared" si="19"/>
        <v>0.71385611415200256</v>
      </c>
      <c r="E101" s="184">
        <f t="shared" si="19"/>
        <v>0.87472534358100762</v>
      </c>
      <c r="F101" s="184">
        <f t="shared" si="19"/>
        <v>0.93196104228062915</v>
      </c>
      <c r="G101" s="184">
        <f t="shared" si="19"/>
        <v>0.77170518466686067</v>
      </c>
      <c r="H101" s="184">
        <f t="shared" si="19"/>
        <v>0.8141789068787163</v>
      </c>
      <c r="I101" s="184">
        <f t="shared" si="19"/>
        <v>0.85643589094362882</v>
      </c>
      <c r="J101" s="257">
        <f t="shared" si="19"/>
        <v>0.90829068871728691</v>
      </c>
      <c r="K101" s="280">
        <f t="shared" si="19"/>
        <v>0.91400753364382037</v>
      </c>
      <c r="L101" s="186"/>
      <c r="M101" s="186"/>
      <c r="N101" s="186"/>
      <c r="O101" s="184">
        <f t="shared" si="17"/>
        <v>0.93196104228062915</v>
      </c>
    </row>
    <row r="102" spans="1:15" x14ac:dyDescent="0.2">
      <c r="A102" s="184">
        <f t="shared" si="20"/>
        <v>5.75</v>
      </c>
      <c r="B102" s="185">
        <f t="shared" si="15"/>
        <v>289.97585176435967</v>
      </c>
      <c r="C102" s="184">
        <f t="shared" si="18"/>
        <v>6.9073100614103984</v>
      </c>
      <c r="D102" s="184">
        <f t="shared" si="19"/>
        <v>0.77940961721638979</v>
      </c>
      <c r="E102" s="184">
        <f t="shared" si="19"/>
        <v>0.90577917782385353</v>
      </c>
      <c r="F102" s="184">
        <f t="shared" si="19"/>
        <v>0.94923547680957854</v>
      </c>
      <c r="G102" s="184">
        <f t="shared" si="19"/>
        <v>0.82563141150322839</v>
      </c>
      <c r="H102" s="184">
        <f t="shared" si="19"/>
        <v>0.8589935973258096</v>
      </c>
      <c r="I102" s="184">
        <f t="shared" si="19"/>
        <v>0.89173815035736037</v>
      </c>
      <c r="J102" s="257">
        <f t="shared" si="19"/>
        <v>0.93135056247037784</v>
      </c>
      <c r="K102" s="280">
        <f t="shared" si="19"/>
        <v>0.93568112769146328</v>
      </c>
      <c r="L102" s="186"/>
      <c r="M102" s="186"/>
      <c r="N102" s="186"/>
      <c r="O102" s="184">
        <f t="shared" si="17"/>
        <v>0.94923547680957854</v>
      </c>
    </row>
    <row r="103" spans="1:15" x14ac:dyDescent="0.2">
      <c r="A103" s="184">
        <f t="shared" si="20"/>
        <v>5.875</v>
      </c>
      <c r="B103" s="185">
        <f t="shared" si="15"/>
        <v>298.57510359743014</v>
      </c>
      <c r="C103" s="184">
        <f t="shared" si="18"/>
        <v>7.0382751880821663</v>
      </c>
      <c r="D103" s="184">
        <f t="shared" si="19"/>
        <v>0.83165452941001061</v>
      </c>
      <c r="E103" s="184">
        <f t="shared" si="19"/>
        <v>0.92941769814471686</v>
      </c>
      <c r="F103" s="184">
        <f t="shared" si="19"/>
        <v>0.96219770910084801</v>
      </c>
      <c r="G103" s="184">
        <f t="shared" si="19"/>
        <v>0.86786005170827962</v>
      </c>
      <c r="H103" s="184">
        <f t="shared" si="19"/>
        <v>0.89366485975066856</v>
      </c>
      <c r="I103" s="184">
        <f t="shared" si="19"/>
        <v>0.91873936285997915</v>
      </c>
      <c r="J103" s="257">
        <f t="shared" si="19"/>
        <v>0.94875507379839963</v>
      </c>
      <c r="K103" s="280">
        <f t="shared" si="19"/>
        <v>0.95201612759749921</v>
      </c>
      <c r="L103" s="186"/>
      <c r="M103" s="186"/>
      <c r="N103" s="186"/>
      <c r="O103" s="184">
        <f t="shared" si="17"/>
        <v>0.96219770910084801</v>
      </c>
    </row>
    <row r="104" spans="1:15" x14ac:dyDescent="0.2">
      <c r="A104" s="184">
        <f t="shared" si="20"/>
        <v>6</v>
      </c>
      <c r="B104" s="185">
        <f t="shared" si="15"/>
        <v>307.17435543050055</v>
      </c>
      <c r="C104" s="184">
        <f t="shared" si="18"/>
        <v>7.169070929146379</v>
      </c>
      <c r="D104" s="184">
        <f t="shared" si="19"/>
        <v>0.87249216184243261</v>
      </c>
      <c r="E104" s="184">
        <f t="shared" si="19"/>
        <v>0.94727828450148877</v>
      </c>
      <c r="F104" s="184">
        <f t="shared" si="19"/>
        <v>0.97188835559834053</v>
      </c>
      <c r="G104" s="184">
        <f t="shared" si="19"/>
        <v>0.90044181841460791</v>
      </c>
      <c r="H104" s="184">
        <f t="shared" si="19"/>
        <v>0.92017737029799684</v>
      </c>
      <c r="I104" s="184">
        <f t="shared" si="19"/>
        <v>0.93921288471714903</v>
      </c>
      <c r="J104" s="257">
        <f t="shared" si="19"/>
        <v>0.96182289658462439</v>
      </c>
      <c r="K104" s="280">
        <f t="shared" si="19"/>
        <v>0.9642680683145981</v>
      </c>
      <c r="L104" s="186"/>
      <c r="M104" s="186"/>
      <c r="N104" s="186"/>
      <c r="O104" s="184">
        <f t="shared" si="17"/>
        <v>0.97188835559834053</v>
      </c>
    </row>
    <row r="105" spans="1:15" x14ac:dyDescent="0.2">
      <c r="A105" s="184">
        <f t="shared" si="20"/>
        <v>6.125</v>
      </c>
      <c r="B105" s="185">
        <f t="shared" si="15"/>
        <v>315.77360726357097</v>
      </c>
      <c r="C105" s="184">
        <f t="shared" si="18"/>
        <v>7.2997066393179244</v>
      </c>
      <c r="D105" s="184">
        <f t="shared" si="19"/>
        <v>0.90396195335456986</v>
      </c>
      <c r="E105" s="184">
        <f t="shared" si="19"/>
        <v>0.96070067568287609</v>
      </c>
      <c r="F105" s="184">
        <f t="shared" si="19"/>
        <v>0.97911414006793274</v>
      </c>
      <c r="G105" s="184">
        <f t="shared" si="19"/>
        <v>0.92530923407929977</v>
      </c>
      <c r="H105" s="184">
        <f t="shared" si="19"/>
        <v>0.94027910161986206</v>
      </c>
      <c r="I105" s="184">
        <f t="shared" si="19"/>
        <v>0.95463914306873987</v>
      </c>
      <c r="J105" s="257">
        <f t="shared" si="19"/>
        <v>0.971597890605572</v>
      </c>
      <c r="K105" s="280">
        <f t="shared" si="19"/>
        <v>0.97342566181393564</v>
      </c>
      <c r="L105" s="186"/>
      <c r="M105" s="186"/>
      <c r="N105" s="186"/>
      <c r="O105" s="184">
        <f t="shared" si="17"/>
        <v>0.97911414006793274</v>
      </c>
    </row>
    <row r="106" spans="1:15" x14ac:dyDescent="0.2">
      <c r="A106" s="184">
        <f t="shared" si="20"/>
        <v>6.25</v>
      </c>
      <c r="B106" s="185">
        <f t="shared" si="15"/>
        <v>324.37285909664143</v>
      </c>
      <c r="C106" s="184">
        <f t="shared" si="18"/>
        <v>7.4301909191367166</v>
      </c>
      <c r="D106" s="184">
        <f t="shared" si="19"/>
        <v>0.92796134570007283</v>
      </c>
      <c r="E106" s="184">
        <f t="shared" si="19"/>
        <v>0.97074857693462646</v>
      </c>
      <c r="F106" s="184">
        <f t="shared" si="19"/>
        <v>0.98449206795054311</v>
      </c>
      <c r="G106" s="184">
        <f t="shared" si="19"/>
        <v>0.94413910015484404</v>
      </c>
      <c r="H106" s="184">
        <f t="shared" si="19"/>
        <v>0.9554260413298884</v>
      </c>
      <c r="I106" s="184">
        <f t="shared" si="19"/>
        <v>0.9662094409708899</v>
      </c>
      <c r="J106" s="257">
        <f t="shared" si="19"/>
        <v>0.97889024229710553</v>
      </c>
      <c r="K106" s="280">
        <f t="shared" si="19"/>
        <v>0.98025350341221384</v>
      </c>
      <c r="L106" s="186"/>
      <c r="M106" s="186"/>
      <c r="N106" s="186"/>
      <c r="O106" s="184">
        <f t="shared" si="17"/>
        <v>0.98449206795054311</v>
      </c>
    </row>
    <row r="107" spans="1:15" x14ac:dyDescent="0.2">
      <c r="A107" s="184">
        <f t="shared" si="20"/>
        <v>6.375</v>
      </c>
      <c r="B107" s="185">
        <f t="shared" si="15"/>
        <v>332.9721109297119</v>
      </c>
      <c r="C107" s="184">
        <f t="shared" si="18"/>
        <v>7.5605316939191942</v>
      </c>
      <c r="D107" s="184">
        <f t="shared" si="19"/>
        <v>0.94612485511513722</v>
      </c>
      <c r="E107" s="184">
        <f t="shared" si="19"/>
        <v>0.97824943969795208</v>
      </c>
      <c r="F107" s="184">
        <f t="shared" si="19"/>
        <v>0.98848958300404655</v>
      </c>
      <c r="G107" s="184">
        <f t="shared" si="19"/>
        <v>0.95831532745122405</v>
      </c>
      <c r="H107" s="184">
        <f t="shared" si="19"/>
        <v>0.96678833753053006</v>
      </c>
      <c r="I107" s="184">
        <f t="shared" si="19"/>
        <v>0.9748591332613803</v>
      </c>
      <c r="J107" s="257">
        <f t="shared" si="19"/>
        <v>0.98432022018936671</v>
      </c>
      <c r="K107" s="280">
        <f t="shared" si="19"/>
        <v>0.98533544520781802</v>
      </c>
      <c r="L107" s="186"/>
      <c r="M107" s="186"/>
      <c r="N107" s="186"/>
      <c r="O107" s="184">
        <f t="shared" si="17"/>
        <v>0.98848958300404655</v>
      </c>
    </row>
    <row r="108" spans="1:15" x14ac:dyDescent="0.2">
      <c r="A108" s="184">
        <f t="shared" si="20"/>
        <v>6.5</v>
      </c>
      <c r="B108" s="185">
        <f t="shared" si="15"/>
        <v>341.57136276278231</v>
      </c>
      <c r="C108" s="184">
        <f t="shared" si="18"/>
        <v>7.6907362826413648</v>
      </c>
      <c r="D108" s="184">
        <f t="shared" si="19"/>
        <v>0.95979556367826768</v>
      </c>
      <c r="E108" s="184">
        <f t="shared" si="19"/>
        <v>0.98383785958934278</v>
      </c>
      <c r="F108" s="184">
        <f t="shared" si="19"/>
        <v>0.99145845199334759</v>
      </c>
      <c r="G108" s="184">
        <f t="shared" si="19"/>
        <v>0.9689435344346512</v>
      </c>
      <c r="H108" s="184">
        <f t="shared" si="19"/>
        <v>0.97528409109629999</v>
      </c>
      <c r="I108" s="184">
        <f t="shared" si="19"/>
        <v>0.98131028795907349</v>
      </c>
      <c r="J108" s="257">
        <f t="shared" si="19"/>
        <v>0.98835814189945159</v>
      </c>
      <c r="K108" s="280">
        <f t="shared" si="19"/>
        <v>0.98911336917453674</v>
      </c>
      <c r="L108" s="186"/>
      <c r="M108" s="186"/>
      <c r="N108" s="186"/>
      <c r="O108" s="184">
        <f t="shared" si="17"/>
        <v>0.99145845199334759</v>
      </c>
    </row>
    <row r="109" spans="1:15" x14ac:dyDescent="0.2">
      <c r="A109" s="184">
        <f t="shared" si="20"/>
        <v>6.625</v>
      </c>
      <c r="B109" s="185">
        <f t="shared" si="15"/>
        <v>350.17061459585273</v>
      </c>
      <c r="C109" s="184">
        <f t="shared" si="18"/>
        <v>7.8208114582559736</v>
      </c>
      <c r="D109" s="184">
        <f t="shared" si="19"/>
        <v>0.97004348398283013</v>
      </c>
      <c r="E109" s="184">
        <f t="shared" si="19"/>
        <v>0.98799568746742938</v>
      </c>
      <c r="F109" s="184">
        <f t="shared" si="19"/>
        <v>0.99366213591888564</v>
      </c>
      <c r="G109" s="184">
        <f t="shared" si="19"/>
        <v>0.97688777066608423</v>
      </c>
      <c r="H109" s="184">
        <f t="shared" si="19"/>
        <v>0.98162180600900406</v>
      </c>
      <c r="I109" s="184">
        <f t="shared" si="19"/>
        <v>0.98611375370505816</v>
      </c>
      <c r="J109" s="257">
        <f t="shared" si="19"/>
        <v>0.99135820146555242</v>
      </c>
      <c r="K109" s="280">
        <f t="shared" si="19"/>
        <v>0.99191960587164685</v>
      </c>
      <c r="L109" s="186"/>
      <c r="M109" s="186"/>
      <c r="N109" s="186"/>
      <c r="O109" s="184">
        <f t="shared" si="17"/>
        <v>0.99366213591888564</v>
      </c>
    </row>
    <row r="110" spans="1:15" x14ac:dyDescent="0.2">
      <c r="A110" s="184">
        <f t="shared" si="20"/>
        <v>6.75</v>
      </c>
      <c r="B110" s="185">
        <f t="shared" si="15"/>
        <v>358.76986642892319</v>
      </c>
      <c r="C110" s="184">
        <f t="shared" si="18"/>
        <v>7.9507635006910684</v>
      </c>
      <c r="D110" s="184">
        <f t="shared" si="19"/>
        <v>0.97770334715672702</v>
      </c>
      <c r="E110" s="184">
        <f t="shared" si="19"/>
        <v>0.99108621292864174</v>
      </c>
      <c r="F110" s="184">
        <f t="shared" si="19"/>
        <v>0.99529729657313148</v>
      </c>
      <c r="G110" s="184">
        <f t="shared" si="19"/>
        <v>0.98281306383923739</v>
      </c>
      <c r="H110" s="184">
        <f t="shared" si="19"/>
        <v>0.98634192062967629</v>
      </c>
      <c r="I110" s="184">
        <f t="shared" si="19"/>
        <v>0.98968625264433763</v>
      </c>
      <c r="J110" s="257">
        <f t="shared" si="19"/>
        <v>0.99358585344311956</v>
      </c>
      <c r="K110" s="280">
        <f t="shared" si="19"/>
        <v>0.994002978976811</v>
      </c>
      <c r="L110" s="186"/>
      <c r="M110" s="186"/>
      <c r="N110" s="186"/>
      <c r="O110" s="184">
        <f t="shared" si="17"/>
        <v>0.99529729657313148</v>
      </c>
    </row>
    <row r="111" spans="1:15" x14ac:dyDescent="0.2">
      <c r="A111" s="184">
        <f t="shared" si="20"/>
        <v>6.875</v>
      </c>
      <c r="B111" s="185">
        <f t="shared" si="15"/>
        <v>367.36911826199366</v>
      </c>
      <c r="C111" s="184">
        <f t="shared" si="18"/>
        <v>8.080598243570364</v>
      </c>
      <c r="D111" s="184">
        <f t="shared" si="19"/>
        <v>0.98341688669342986</v>
      </c>
      <c r="E111" s="184">
        <f t="shared" si="19"/>
        <v>0.99338196168246262</v>
      </c>
      <c r="F111" s="184">
        <f t="shared" si="19"/>
        <v>0.99651038777127832</v>
      </c>
      <c r="G111" s="184">
        <f t="shared" si="19"/>
        <v>0.98722578977345132</v>
      </c>
      <c r="H111" s="184">
        <f t="shared" si="19"/>
        <v>0.98985329532989075</v>
      </c>
      <c r="I111" s="184">
        <f t="shared" si="19"/>
        <v>0.99234116689411178</v>
      </c>
      <c r="J111" s="257">
        <f t="shared" si="19"/>
        <v>0.99523936514621858</v>
      </c>
      <c r="K111" s="280">
        <f t="shared" si="19"/>
        <v>0.99554920025282267</v>
      </c>
      <c r="L111" s="186"/>
      <c r="M111" s="186"/>
      <c r="N111" s="186"/>
      <c r="O111" s="184">
        <f t="shared" si="17"/>
        <v>0.99651038777127832</v>
      </c>
    </row>
    <row r="112" spans="1:15" x14ac:dyDescent="0.2">
      <c r="A112" s="184">
        <f t="shared" si="20"/>
        <v>7</v>
      </c>
      <c r="B112" s="185">
        <f t="shared" si="15"/>
        <v>375.96837009506407</v>
      </c>
      <c r="C112" s="184">
        <f t="shared" si="18"/>
        <v>8.2103211155272646</v>
      </c>
      <c r="D112" s="184">
        <f t="shared" si="19"/>
        <v>0.98767239959468656</v>
      </c>
      <c r="E112" s="184">
        <f t="shared" si="19"/>
        <v>0.99508664255521773</v>
      </c>
      <c r="F112" s="184">
        <f t="shared" si="19"/>
        <v>0.99741029552629012</v>
      </c>
      <c r="G112" s="184">
        <f t="shared" si="19"/>
        <v>0.99050859032670857</v>
      </c>
      <c r="H112" s="184">
        <f t="shared" si="19"/>
        <v>0.992463440300968</v>
      </c>
      <c r="I112" s="184">
        <f t="shared" si="19"/>
        <v>0.99431316870961428</v>
      </c>
      <c r="J112" s="257">
        <f t="shared" si="19"/>
        <v>0.9964664650959012</v>
      </c>
      <c r="K112" s="280">
        <f t="shared" si="19"/>
        <v>0.99669656977032683</v>
      </c>
      <c r="L112" s="186"/>
      <c r="M112" s="186"/>
      <c r="N112" s="186"/>
      <c r="O112" s="184">
        <f t="shared" si="17"/>
        <v>0.99741029552629012</v>
      </c>
    </row>
    <row r="113" spans="1:15" x14ac:dyDescent="0.2">
      <c r="A113" s="184">
        <f t="shared" si="20"/>
        <v>7.125</v>
      </c>
      <c r="B113" s="185">
        <f t="shared" si="15"/>
        <v>384.56762192813449</v>
      </c>
      <c r="C113" s="184">
        <f t="shared" si="18"/>
        <v>8.3399371768463002</v>
      </c>
      <c r="D113" s="184">
        <f t="shared" si="19"/>
        <v>0.99083871780036537</v>
      </c>
      <c r="E113" s="184">
        <f t="shared" si="19"/>
        <v>0.99635214067294897</v>
      </c>
      <c r="F113" s="184">
        <f t="shared" si="19"/>
        <v>0.99807788492885852</v>
      </c>
      <c r="G113" s="184">
        <f t="shared" si="19"/>
        <v>0.99294903961198933</v>
      </c>
      <c r="H113" s="184">
        <f t="shared" si="19"/>
        <v>0.99440267531130788</v>
      </c>
      <c r="I113" s="184">
        <f t="shared" si="19"/>
        <v>0.99577746197629891</v>
      </c>
      <c r="J113" s="257">
        <f t="shared" si="19"/>
        <v>0.99737704063884958</v>
      </c>
      <c r="K113" s="280">
        <f t="shared" si="19"/>
        <v>0.99754792138084503</v>
      </c>
      <c r="L113" s="186"/>
      <c r="M113" s="186"/>
      <c r="N113" s="186"/>
      <c r="O113" s="184">
        <f t="shared" si="17"/>
        <v>0.99807788492885852</v>
      </c>
    </row>
    <row r="114" spans="1:15" x14ac:dyDescent="0.2">
      <c r="A114" s="184">
        <f>A113+0.125</f>
        <v>7.25</v>
      </c>
      <c r="B114" s="185">
        <f t="shared" si="15"/>
        <v>393.16687376120495</v>
      </c>
      <c r="C114" s="184">
        <f t="shared" si="18"/>
        <v>8.4694511520521445</v>
      </c>
      <c r="D114" s="184">
        <f t="shared" si="19"/>
        <v>0.99319298145194024</v>
      </c>
      <c r="E114" s="184">
        <f t="shared" si="19"/>
        <v>0.99729150131929967</v>
      </c>
      <c r="F114" s="184">
        <f t="shared" si="19"/>
        <v>0.99857316712142674</v>
      </c>
      <c r="G114" s="184">
        <f t="shared" si="19"/>
        <v>0.99476242687864758</v>
      </c>
      <c r="H114" s="184">
        <f t="shared" si="19"/>
        <v>0.99584299484436289</v>
      </c>
      <c r="I114" s="184">
        <f t="shared" si="19"/>
        <v>0.99686457523952599</v>
      </c>
      <c r="J114" s="257">
        <f t="shared" si="19"/>
        <v>0.99805273708785291</v>
      </c>
      <c r="K114" s="280">
        <f t="shared" si="19"/>
        <v>0.99817963768814577</v>
      </c>
      <c r="L114" s="186"/>
      <c r="M114" s="186"/>
      <c r="N114" s="186"/>
      <c r="O114" s="184">
        <f t="shared" si="17"/>
        <v>0.99857316712142674</v>
      </c>
    </row>
    <row r="115" spans="1:15" x14ac:dyDescent="0.2">
      <c r="A115" s="184">
        <f t="shared" si="20"/>
        <v>7.375</v>
      </c>
      <c r="B115" s="185">
        <f t="shared" si="15"/>
        <v>401.76612559427542</v>
      </c>
      <c r="C115" s="184">
        <f t="shared" si="18"/>
        <v>8.5988674589724283</v>
      </c>
      <c r="D115" s="184">
        <f t="shared" si="19"/>
        <v>0.9949426564978473</v>
      </c>
      <c r="E115" s="184">
        <f t="shared" si="19"/>
        <v>0.99798875939915399</v>
      </c>
      <c r="F115" s="184">
        <f t="shared" si="19"/>
        <v>0.99894065679929378</v>
      </c>
      <c r="G115" s="184">
        <f t="shared" si="19"/>
        <v>0.99610948209192807</v>
      </c>
      <c r="H115" s="184">
        <f t="shared" si="19"/>
        <v>0.99691256932513328</v>
      </c>
      <c r="I115" s="184">
        <f t="shared" si="19"/>
        <v>0.99767161001795535</v>
      </c>
      <c r="J115" s="257">
        <f t="shared" si="19"/>
        <v>0.99855416969227295</v>
      </c>
      <c r="K115" s="280">
        <f t="shared" si="19"/>
        <v>0.99864841470871302</v>
      </c>
      <c r="L115" s="186"/>
      <c r="M115" s="186"/>
      <c r="N115" s="186"/>
      <c r="O115" s="184">
        <f t="shared" si="17"/>
        <v>0.99894065679929378</v>
      </c>
    </row>
    <row r="116" spans="1:15" x14ac:dyDescent="0.2">
      <c r="A116" s="184">
        <f t="shared" si="20"/>
        <v>7.5</v>
      </c>
      <c r="B116" s="185">
        <f t="shared" si="15"/>
        <v>410.36537742734583</v>
      </c>
      <c r="C116" s="184">
        <f t="shared" si="18"/>
        <v>8.7281902347224989</v>
      </c>
      <c r="D116" s="184">
        <f t="shared" si="19"/>
        <v>0.99624263829092918</v>
      </c>
      <c r="E116" s="184">
        <f t="shared" si="19"/>
        <v>0.9985063329322007</v>
      </c>
      <c r="F116" s="184">
        <f t="shared" si="19"/>
        <v>0.99921336517124515</v>
      </c>
      <c r="G116" s="184">
        <f t="shared" si="19"/>
        <v>0.99710996893112425</v>
      </c>
      <c r="H116" s="184">
        <f t="shared" si="19"/>
        <v>0.99770677173797151</v>
      </c>
      <c r="I116" s="184">
        <f t="shared" si="19"/>
        <v>0.99827072818320706</v>
      </c>
      <c r="J116" s="257">
        <f t="shared" si="19"/>
        <v>0.99892631856316894</v>
      </c>
      <c r="K116" s="280">
        <f t="shared" si="19"/>
        <v>0.99899631761655217</v>
      </c>
      <c r="L116" s="186"/>
      <c r="M116" s="186"/>
      <c r="N116" s="186"/>
      <c r="O116" s="184">
        <f t="shared" si="17"/>
        <v>0.99921336517124515</v>
      </c>
    </row>
    <row r="117" spans="1:15" x14ac:dyDescent="0.2">
      <c r="A117" s="184">
        <f>A116+0.125</f>
        <v>7.625</v>
      </c>
      <c r="B117" s="185">
        <f t="shared" si="15"/>
        <v>418.96462926041625</v>
      </c>
      <c r="C117" s="184">
        <f t="shared" si="18"/>
        <v>8.85742335899522</v>
      </c>
      <c r="D117" s="184">
        <f t="shared" si="19"/>
        <v>0.99720835521024287</v>
      </c>
      <c r="E117" s="184">
        <f t="shared" si="19"/>
        <v>0.99889055901441282</v>
      </c>
      <c r="F117" s="184">
        <f t="shared" si="19"/>
        <v>0.99941576977193414</v>
      </c>
      <c r="G117" s="184">
        <f t="shared" si="19"/>
        <v>0.99785300479292061</v>
      </c>
      <c r="H117" s="184">
        <f t="shared" si="19"/>
        <v>0.99829649884478233</v>
      </c>
      <c r="I117" s="184">
        <f t="shared" si="19"/>
        <v>0.99871552147921361</v>
      </c>
      <c r="J117" s="257">
        <f t="shared" si="19"/>
        <v>0.99920255204179609</v>
      </c>
      <c r="K117" s="280">
        <f t="shared" si="19"/>
        <v>0.99925454867279095</v>
      </c>
      <c r="L117" s="186"/>
      <c r="M117" s="186"/>
      <c r="N117" s="186"/>
      <c r="O117" s="184">
        <f t="shared" si="17"/>
        <v>0.99941576977193414</v>
      </c>
    </row>
    <row r="118" spans="1:15" x14ac:dyDescent="0.2">
      <c r="A118" s="184">
        <f>A117+0.125</f>
        <v>7.75</v>
      </c>
      <c r="B118" s="185">
        <f t="shared" si="15"/>
        <v>427.56388109348677</v>
      </c>
      <c r="C118" s="184">
        <f t="shared" si="18"/>
        <v>8.9865704749844433</v>
      </c>
      <c r="D118" s="184">
        <f t="shared" si="19"/>
        <v>0.99792571164075139</v>
      </c>
      <c r="E118" s="184">
        <f t="shared" si="19"/>
        <v>0.99917582566830399</v>
      </c>
      <c r="F118" s="184">
        <f t="shared" si="19"/>
        <v>0.99956602016743068</v>
      </c>
      <c r="G118" s="184">
        <f t="shared" si="19"/>
        <v>0.99840484101004201</v>
      </c>
      <c r="H118" s="184">
        <f t="shared" si="19"/>
        <v>0.99873441730743517</v>
      </c>
      <c r="I118" s="184">
        <f t="shared" si="19"/>
        <v>0.9990457734179512</v>
      </c>
      <c r="J118" s="257">
        <f t="shared" si="19"/>
        <v>0.9994076208143865</v>
      </c>
      <c r="K118" s="280">
        <f t="shared" si="19"/>
        <v>0.99944624988904363</v>
      </c>
      <c r="L118" s="186"/>
      <c r="M118" s="186"/>
      <c r="N118" s="186"/>
      <c r="O118" s="184">
        <f t="shared" si="17"/>
        <v>0.99956602016743068</v>
      </c>
    </row>
    <row r="119" spans="1:15" x14ac:dyDescent="0.2">
      <c r="A119" s="184">
        <f>A118+0.125</f>
        <v>7.875</v>
      </c>
      <c r="B119" s="185">
        <f t="shared" si="15"/>
        <v>436.16313292655718</v>
      </c>
      <c r="C119" s="184">
        <f t="shared" si="18"/>
        <v>9.1156350082248832</v>
      </c>
      <c r="D119" s="184">
        <f t="shared" si="19"/>
        <v>0.99845858179910396</v>
      </c>
      <c r="E119" s="184">
        <f t="shared" si="19"/>
        <v>0.99938764879649689</v>
      </c>
      <c r="F119" s="184">
        <f t="shared" si="19"/>
        <v>0.99967757460091355</v>
      </c>
      <c r="G119" s="184">
        <f t="shared" si="19"/>
        <v>0.99881469928766953</v>
      </c>
      <c r="H119" s="184">
        <f t="shared" si="19"/>
        <v>0.99905963451870838</v>
      </c>
      <c r="I119" s="184">
        <f t="shared" si="19"/>
        <v>0.99929100974369667</v>
      </c>
      <c r="J119" s="257">
        <f t="shared" si="19"/>
        <v>0.99955988280682628</v>
      </c>
      <c r="K119" s="280">
        <f t="shared" si="19"/>
        <v>0.9995885849135272</v>
      </c>
      <c r="L119" s="186"/>
      <c r="M119" s="186"/>
      <c r="N119" s="186"/>
      <c r="O119" s="184">
        <f t="shared" si="17"/>
        <v>0.99967757460091355</v>
      </c>
    </row>
    <row r="120" spans="1:15" x14ac:dyDescent="0.2">
      <c r="A120" s="184">
        <f>A119+0.125</f>
        <v>8</v>
      </c>
      <c r="B120" s="185">
        <f t="shared" si="15"/>
        <v>444.76238475962759</v>
      </c>
      <c r="C120" s="184">
        <f t="shared" si="18"/>
        <v>9.2446201835925663</v>
      </c>
      <c r="D120" s="184">
        <f t="shared" si="19"/>
        <v>0.99885443071381452</v>
      </c>
      <c r="E120" s="184">
        <f t="shared" si="19"/>
        <v>0.99954495999942838</v>
      </c>
      <c r="F120" s="184">
        <f t="shared" si="19"/>
        <v>0.99976041365446688</v>
      </c>
      <c r="G120" s="184">
        <f t="shared" si="19"/>
        <v>0.99911913463475477</v>
      </c>
      <c r="H120" s="184">
        <f t="shared" si="19"/>
        <v>0.99930118214845998</v>
      </c>
      <c r="I120" s="184">
        <f t="shared" si="19"/>
        <v>0.99947314068737403</v>
      </c>
      <c r="J120" s="257">
        <f t="shared" si="19"/>
        <v>0.99967295484447705</v>
      </c>
      <c r="K120" s="280">
        <f t="shared" si="19"/>
        <v>0.99969428412089123</v>
      </c>
      <c r="L120" s="186"/>
      <c r="M120" s="186"/>
      <c r="N120" s="186"/>
      <c r="O120" s="184">
        <f t="shared" si="17"/>
        <v>0.99976041365446688</v>
      </c>
    </row>
    <row r="121" spans="1:15" x14ac:dyDescent="0.2">
      <c r="A121" s="184">
        <f t="shared" ref="A121:A127" si="21">A120+0.125</f>
        <v>8.125</v>
      </c>
      <c r="B121" s="185">
        <f t="shared" si="15"/>
        <v>453.36163659269801</v>
      </c>
      <c r="C121" s="184">
        <f t="shared" si="18"/>
        <v>9.3735290406772194</v>
      </c>
      <c r="D121" s="184">
        <f t="shared" si="19"/>
        <v>0.99914851614598554</v>
      </c>
      <c r="E121" s="184">
        <f t="shared" si="19"/>
        <v>0.99966180584352904</v>
      </c>
      <c r="F121" s="184">
        <f t="shared" si="19"/>
        <v>0.99982193991814805</v>
      </c>
      <c r="G121" s="184">
        <f t="shared" si="19"/>
        <v>0.99934528872911166</v>
      </c>
      <c r="H121" s="184">
        <f t="shared" si="19"/>
        <v>0.99948060936407923</v>
      </c>
      <c r="I121" s="184">
        <f t="shared" si="19"/>
        <v>0.99960842478806344</v>
      </c>
      <c r="J121" s="257">
        <f t="shared" si="19"/>
        <v>0.9997569379791732</v>
      </c>
      <c r="K121" s="280">
        <f t="shared" si="19"/>
        <v>0.99977279065428903</v>
      </c>
      <c r="L121" s="186"/>
      <c r="M121" s="186"/>
      <c r="N121" s="186"/>
      <c r="O121" s="184">
        <f t="shared" si="17"/>
        <v>0.99982193991814805</v>
      </c>
    </row>
    <row r="122" spans="1:15" x14ac:dyDescent="0.2">
      <c r="A122" s="184">
        <f t="shared" si="21"/>
        <v>8.25</v>
      </c>
      <c r="B122" s="185">
        <f t="shared" si="15"/>
        <v>461.96088842576842</v>
      </c>
      <c r="C122" s="184">
        <f t="shared" si="18"/>
        <v>9.5023644477101854</v>
      </c>
      <c r="D122" s="184">
        <f t="shared" si="19"/>
        <v>0.99936702218694384</v>
      </c>
      <c r="E122" s="184">
        <f t="shared" si="19"/>
        <v>0.99974860910392249</v>
      </c>
      <c r="F122" s="184">
        <f t="shared" si="19"/>
        <v>0.99986764477592849</v>
      </c>
      <c r="G122" s="184">
        <f t="shared" si="19"/>
        <v>0.99951331169157143</v>
      </c>
      <c r="H122" s="184">
        <f t="shared" si="19"/>
        <v>0.99961391078928474</v>
      </c>
      <c r="I122" s="184">
        <f t="shared" si="19"/>
        <v>0.99970892720601834</v>
      </c>
      <c r="J122" s="257">
        <f t="shared" si="19"/>
        <v>0.99981932617162539</v>
      </c>
      <c r="K122" s="280">
        <f t="shared" si="19"/>
        <v>0.99983111018885962</v>
      </c>
      <c r="L122" s="186"/>
      <c r="M122" s="186"/>
      <c r="N122" s="186"/>
      <c r="O122" s="184">
        <f t="shared" si="17"/>
        <v>0.99986764477592849</v>
      </c>
    </row>
    <row r="123" spans="1:15" x14ac:dyDescent="0.2">
      <c r="A123" s="184">
        <f t="shared" si="21"/>
        <v>8.375</v>
      </c>
      <c r="B123" s="185">
        <f t="shared" si="15"/>
        <v>470.56014025883894</v>
      </c>
      <c r="C123" s="184">
        <f t="shared" si="18"/>
        <v>9.6311291142077469</v>
      </c>
      <c r="D123" s="184">
        <f t="shared" si="19"/>
        <v>0.99952939222771287</v>
      </c>
      <c r="E123" s="184">
        <f t="shared" si="19"/>
        <v>0.99981310448178229</v>
      </c>
      <c r="F123" s="184">
        <f t="shared" si="19"/>
        <v>0.9999016025608839</v>
      </c>
      <c r="G123" s="184">
        <f t="shared" si="19"/>
        <v>0.9996381626720926</v>
      </c>
      <c r="H123" s="184">
        <f t="shared" si="19"/>
        <v>0.99971295861762333</v>
      </c>
      <c r="I123" s="184">
        <f t="shared" si="19"/>
        <v>0.99978360203765892</v>
      </c>
      <c r="J123" s="257">
        <f t="shared" si="19"/>
        <v>0.99986568001100795</v>
      </c>
      <c r="K123" s="280">
        <f t="shared" si="19"/>
        <v>0.99987444090005517</v>
      </c>
      <c r="L123" s="186"/>
      <c r="M123" s="186"/>
      <c r="N123" s="186"/>
      <c r="O123" s="184">
        <f t="shared" si="17"/>
        <v>0.9999016025608839</v>
      </c>
    </row>
    <row r="124" spans="1:15" x14ac:dyDescent="0.2">
      <c r="A124" s="184">
        <f t="shared" si="21"/>
        <v>8.5</v>
      </c>
      <c r="B124" s="185">
        <f t="shared" si="15"/>
        <v>479.15939209190935</v>
      </c>
      <c r="C124" s="184">
        <f t="shared" si="18"/>
        <v>9.7598256024694745</v>
      </c>
      <c r="D124" s="184">
        <f t="shared" si="19"/>
        <v>0.99965006384172916</v>
      </c>
      <c r="E124" s="184">
        <f t="shared" si="19"/>
        <v>0.99986103263984305</v>
      </c>
      <c r="F124" s="184">
        <f t="shared" si="19"/>
        <v>0.99992683678399308</v>
      </c>
      <c r="G124" s="184">
        <f t="shared" si="19"/>
        <v>0.99973094749952052</v>
      </c>
      <c r="H124" s="184">
        <f t="shared" si="19"/>
        <v>0.9997865657995173</v>
      </c>
      <c r="I124" s="184">
        <f t="shared" si="19"/>
        <v>0.99983909529966219</v>
      </c>
      <c r="J124" s="257">
        <f t="shared" si="19"/>
        <v>0.99990012618489943</v>
      </c>
      <c r="K124" s="280">
        <f t="shared" si="19"/>
        <v>0.99990664046105726</v>
      </c>
      <c r="L124" s="186"/>
      <c r="M124" s="186"/>
      <c r="N124" s="186"/>
      <c r="O124" s="184">
        <f t="shared" si="17"/>
        <v>0.99992683678399308</v>
      </c>
    </row>
    <row r="125" spans="1:15" x14ac:dyDescent="0.2">
      <c r="A125" s="184">
        <f t="shared" si="21"/>
        <v>8.625</v>
      </c>
      <c r="B125" s="185">
        <f t="shared" si="15"/>
        <v>487.75864392497976</v>
      </c>
      <c r="C125" s="184">
        <f t="shared" si="18"/>
        <v>9.8884563380537802</v>
      </c>
      <c r="D125" s="184">
        <f t="shared" si="19"/>
        <v>0.99973975789337111</v>
      </c>
      <c r="E125" s="184">
        <f t="shared" si="19"/>
        <v>0.99989665491943647</v>
      </c>
      <c r="F125" s="184">
        <f t="shared" si="19"/>
        <v>0.99994559157872465</v>
      </c>
      <c r="G125" s="184">
        <f t="shared" si="19"/>
        <v>0.99979991189304651</v>
      </c>
      <c r="H125" s="184">
        <f t="shared" si="19"/>
        <v>0.99984127506503473</v>
      </c>
      <c r="I125" s="184">
        <f t="shared" si="19"/>
        <v>0.99988034056369479</v>
      </c>
      <c r="J125" s="257">
        <f t="shared" si="19"/>
        <v>0.99992572776993738</v>
      </c>
      <c r="K125" s="280">
        <f t="shared" si="19"/>
        <v>0.99993057223900106</v>
      </c>
      <c r="L125" s="186"/>
      <c r="M125" s="186"/>
      <c r="N125" s="186"/>
      <c r="O125" s="184">
        <f t="shared" si="17"/>
        <v>0.99994559157872465</v>
      </c>
    </row>
    <row r="126" spans="1:15" x14ac:dyDescent="0.2">
      <c r="A126" s="184">
        <f t="shared" si="21"/>
        <v>8.75</v>
      </c>
      <c r="B126" s="185">
        <f t="shared" si="15"/>
        <v>496.35789575805029</v>
      </c>
      <c r="C126" s="184">
        <f t="shared" si="18"/>
        <v>10.017023619337989</v>
      </c>
      <c r="D126" s="184">
        <f t="shared" ref="D126:K128" si="22">EXP(-D$42*D$44*$B126^-0.47/10^$A126/(D$41/1000))</f>
        <v>0.99980643592065277</v>
      </c>
      <c r="E126" s="184">
        <f t="shared" si="22"/>
        <v>0.99992313506267627</v>
      </c>
      <c r="F126" s="184">
        <f t="shared" si="22"/>
        <v>0.99995953291974593</v>
      </c>
      <c r="G126" s="184">
        <f t="shared" si="22"/>
        <v>0.999851178688275</v>
      </c>
      <c r="H126" s="184">
        <f t="shared" si="22"/>
        <v>0.99988194436847244</v>
      </c>
      <c r="I126" s="184">
        <f t="shared" si="22"/>
        <v>0.99991100075351436</v>
      </c>
      <c r="J126" s="257">
        <f t="shared" si="22"/>
        <v>0.99994475877311717</v>
      </c>
      <c r="K126" s="280">
        <f t="shared" si="22"/>
        <v>0.99994836196094417</v>
      </c>
      <c r="L126" s="186"/>
      <c r="M126" s="186"/>
      <c r="N126" s="186"/>
      <c r="O126" s="184">
        <f t="shared" si="17"/>
        <v>0.99995953291974593</v>
      </c>
    </row>
    <row r="127" spans="1:15" x14ac:dyDescent="0.2">
      <c r="A127" s="184">
        <f t="shared" si="21"/>
        <v>8.875</v>
      </c>
      <c r="B127" s="185">
        <f t="shared" si="15"/>
        <v>504.9571475911207</v>
      </c>
      <c r="C127" s="184">
        <f t="shared" si="18"/>
        <v>10.14552962625725</v>
      </c>
      <c r="D127" s="184">
        <f t="shared" si="22"/>
        <v>0.99985601093025234</v>
      </c>
      <c r="E127" s="184">
        <f t="shared" si="22"/>
        <v>0.999942822317896</v>
      </c>
      <c r="F127" s="184">
        <f t="shared" si="22"/>
        <v>0.99996989780848067</v>
      </c>
      <c r="G127" s="184">
        <f t="shared" si="22"/>
        <v>0.99988929495853074</v>
      </c>
      <c r="H127" s="184">
        <f t="shared" si="22"/>
        <v>0.99991218124653458</v>
      </c>
      <c r="I127" s="184">
        <f t="shared" si="22"/>
        <v>0.99993379584100739</v>
      </c>
      <c r="J127" s="257">
        <f t="shared" si="22"/>
        <v>0.99995890770652629</v>
      </c>
      <c r="K127" s="280">
        <f t="shared" si="22"/>
        <v>0.99996158802771373</v>
      </c>
      <c r="L127" s="186"/>
      <c r="M127" s="186"/>
      <c r="N127" s="186"/>
      <c r="O127" s="184">
        <f t="shared" si="17"/>
        <v>0.99996989780848067</v>
      </c>
    </row>
    <row r="128" spans="1:15" x14ac:dyDescent="0.2">
      <c r="A128" s="184">
        <f>A127+0.125</f>
        <v>9</v>
      </c>
      <c r="B128" s="185">
        <f t="shared" si="15"/>
        <v>513.55639942419111</v>
      </c>
      <c r="C128" s="184">
        <f t="shared" si="18"/>
        <v>10.273976428305533</v>
      </c>
      <c r="D128" s="184">
        <f t="shared" si="22"/>
        <v>0.9998928750259688</v>
      </c>
      <c r="E128" s="184">
        <f t="shared" si="22"/>
        <v>0.9999574614264406</v>
      </c>
      <c r="F128" s="184">
        <f t="shared" si="22"/>
        <v>0.99997760490102761</v>
      </c>
      <c r="G128" s="184">
        <f t="shared" si="22"/>
        <v>0.99991763802504285</v>
      </c>
      <c r="H128" s="184">
        <f t="shared" si="22"/>
        <v>0.99993466508223139</v>
      </c>
      <c r="I128" s="184">
        <f t="shared" si="22"/>
        <v>0.99995074592676669</v>
      </c>
      <c r="J128" s="257">
        <f t="shared" si="22"/>
        <v>0.99996942856225179</v>
      </c>
      <c r="K128" s="280">
        <f t="shared" si="22"/>
        <v>0.99997142265088368</v>
      </c>
      <c r="L128" s="186"/>
      <c r="M128" s="186"/>
      <c r="N128" s="186"/>
      <c r="O128" s="184">
        <f t="shared" si="17"/>
        <v>0.99997760490102761</v>
      </c>
    </row>
  </sheetData>
  <dataValidations count="1">
    <dataValidation type="list" allowBlank="1" showInputMessage="1" showErrorMessage="1" prompt="Zvol ID vzorku pro zobrazení grafu" sqref="Q21">
      <formula1>$D$40:$K$40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52929" r:id="rId4">
          <objectPr defaultSize="0" autoPict="0" r:id="rId5">
            <anchor moveWithCells="1">
              <from>
                <xdr:col>3</xdr:col>
                <xdr:colOff>219075</xdr:colOff>
                <xdr:row>48</xdr:row>
                <xdr:rowOff>28575</xdr:rowOff>
              </from>
              <to>
                <xdr:col>8</xdr:col>
                <xdr:colOff>333375</xdr:colOff>
                <xdr:row>53</xdr:row>
                <xdr:rowOff>9525</xdr:rowOff>
              </to>
            </anchor>
          </objectPr>
        </oleObject>
      </mc:Choice>
      <mc:Fallback>
        <oleObject progId="Equation.3" shapeId="252929" r:id="rId4"/>
      </mc:Fallback>
    </mc:AlternateContent>
    <mc:AlternateContent xmlns:mc="http://schemas.openxmlformats.org/markup-compatibility/2006">
      <mc:Choice Requires="x14">
        <oleObject progId="Equation.3" shapeId="252930" r:id="rId6">
          <objectPr defaultSize="0" autoPict="0" r:id="rId7">
            <anchor moveWithCells="1">
              <from>
                <xdr:col>3</xdr:col>
                <xdr:colOff>209550</xdr:colOff>
                <xdr:row>48</xdr:row>
                <xdr:rowOff>19050</xdr:rowOff>
              </from>
              <to>
                <xdr:col>9</xdr:col>
                <xdr:colOff>171450</xdr:colOff>
                <xdr:row>53</xdr:row>
                <xdr:rowOff>85725</xdr:rowOff>
              </to>
            </anchor>
          </objectPr>
        </oleObject>
      </mc:Choice>
      <mc:Fallback>
        <oleObject progId="Equation.3" shapeId="252930" r:id="rId6"/>
      </mc:Fallback>
    </mc:AlternateContent>
    <mc:AlternateContent xmlns:mc="http://schemas.openxmlformats.org/markup-compatibility/2006">
      <mc:Choice Requires="x14">
        <oleObject progId="Equation.3" shapeId="252931" r:id="rId8">
          <objectPr defaultSize="0" autoPict="0" r:id="rId9">
            <anchor moveWithCells="1">
              <from>
                <xdr:col>4</xdr:col>
                <xdr:colOff>533400</xdr:colOff>
                <xdr:row>26</xdr:row>
                <xdr:rowOff>104775</xdr:rowOff>
              </from>
              <to>
                <xdr:col>9</xdr:col>
                <xdr:colOff>66675</xdr:colOff>
                <xdr:row>31</xdr:row>
                <xdr:rowOff>180975</xdr:rowOff>
              </to>
            </anchor>
          </objectPr>
        </oleObject>
      </mc:Choice>
      <mc:Fallback>
        <oleObject progId="Equation.3" shapeId="252931" r:id="rId8"/>
      </mc:Fallback>
    </mc:AlternateContent>
    <mc:AlternateContent xmlns:mc="http://schemas.openxmlformats.org/markup-compatibility/2006">
      <mc:Choice Requires="x14">
        <oleObject progId="Equation.3" shapeId="252932" r:id="rId10">
          <objectPr defaultSize="0" autoPict="0" r:id="rId11">
            <anchor moveWithCells="1">
              <from>
                <xdr:col>4</xdr:col>
                <xdr:colOff>342900</xdr:colOff>
                <xdr:row>65</xdr:row>
                <xdr:rowOff>76200</xdr:rowOff>
              </from>
              <to>
                <xdr:col>9</xdr:col>
                <xdr:colOff>590550</xdr:colOff>
                <xdr:row>67</xdr:row>
                <xdr:rowOff>171450</xdr:rowOff>
              </to>
            </anchor>
          </objectPr>
        </oleObject>
      </mc:Choice>
      <mc:Fallback>
        <oleObject progId="Equation.3" shapeId="252932" r:id="rId10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2:M84"/>
  <sheetViews>
    <sheetView tabSelected="1" topLeftCell="A64" workbookViewId="0">
      <selection activeCell="B80" sqref="B80"/>
    </sheetView>
  </sheetViews>
  <sheetFormatPr defaultRowHeight="12.75" x14ac:dyDescent="0.2"/>
  <cols>
    <col min="1" max="1" width="10.85546875" customWidth="1"/>
    <col min="2" max="2" width="13.5703125" customWidth="1"/>
    <col min="4" max="4" width="12.5703125" bestFit="1" customWidth="1"/>
    <col min="5" max="9" width="10.5703125" bestFit="1" customWidth="1"/>
    <col min="10" max="10" width="10.5703125" style="238" bestFit="1" customWidth="1"/>
    <col min="11" max="11" width="10.5703125" bestFit="1" customWidth="1"/>
    <col min="12" max="12" width="9.140625" style="192" customWidth="1"/>
  </cols>
  <sheetData>
    <row r="2" spans="1:13" x14ac:dyDescent="0.2">
      <c r="C2" s="162" t="s">
        <v>208</v>
      </c>
      <c r="D2" s="162" t="s">
        <v>222</v>
      </c>
      <c r="E2" s="162" t="s">
        <v>223</v>
      </c>
      <c r="F2" s="162">
        <v>3</v>
      </c>
      <c r="G2" s="162">
        <v>4</v>
      </c>
      <c r="H2" s="162">
        <v>5</v>
      </c>
      <c r="I2" s="162">
        <v>6</v>
      </c>
      <c r="J2" s="248">
        <v>7</v>
      </c>
      <c r="K2" s="162">
        <v>8</v>
      </c>
      <c r="L2" s="187" t="s">
        <v>209</v>
      </c>
      <c r="M2" s="161" t="s">
        <v>210</v>
      </c>
    </row>
    <row r="3" spans="1:13" x14ac:dyDescent="0.2">
      <c r="A3" s="123" t="s">
        <v>226</v>
      </c>
      <c r="C3" s="163" t="s">
        <v>211</v>
      </c>
      <c r="D3" s="151">
        <v>22.36</v>
      </c>
      <c r="E3" s="151">
        <v>22.25</v>
      </c>
      <c r="F3" s="151">
        <v>20.175000000000001</v>
      </c>
      <c r="G3" s="151">
        <v>20.611999999999998</v>
      </c>
      <c r="H3" s="151">
        <v>20.698</v>
      </c>
      <c r="I3" s="151">
        <v>19.946000000000002</v>
      </c>
      <c r="J3" s="240">
        <v>20.640999999999998</v>
      </c>
      <c r="K3" s="151">
        <v>20.169</v>
      </c>
      <c r="L3" s="188">
        <v>20.337</v>
      </c>
      <c r="M3" s="151">
        <v>20.398</v>
      </c>
    </row>
    <row r="4" spans="1:13" x14ac:dyDescent="0.2">
      <c r="A4" s="123" t="s">
        <v>225</v>
      </c>
      <c r="C4" s="163" t="s">
        <v>15</v>
      </c>
      <c r="D4" s="165">
        <v>164</v>
      </c>
      <c r="E4" s="165">
        <v>112</v>
      </c>
      <c r="F4" s="165">
        <v>41</v>
      </c>
      <c r="G4" s="165">
        <v>43</v>
      </c>
      <c r="H4" s="165">
        <v>53</v>
      </c>
      <c r="I4" s="165">
        <v>42</v>
      </c>
      <c r="J4" s="241">
        <v>41</v>
      </c>
      <c r="K4" s="165">
        <v>39</v>
      </c>
      <c r="L4" s="189"/>
      <c r="M4" s="164"/>
    </row>
    <row r="6" spans="1:13" ht="13.5" thickBot="1" x14ac:dyDescent="0.25">
      <c r="A6" s="153" t="s">
        <v>214</v>
      </c>
      <c r="B6" s="153" t="s">
        <v>215</v>
      </c>
      <c r="C6" s="168" t="s">
        <v>216</v>
      </c>
      <c r="D6" s="190" t="s">
        <v>298</v>
      </c>
      <c r="E6" s="190" t="s">
        <v>298</v>
      </c>
      <c r="F6" s="190" t="s">
        <v>298</v>
      </c>
      <c r="G6" s="190" t="s">
        <v>298</v>
      </c>
      <c r="H6" s="190" t="s">
        <v>298</v>
      </c>
      <c r="I6" s="190" t="s">
        <v>298</v>
      </c>
      <c r="J6" s="308" t="s">
        <v>298</v>
      </c>
      <c r="K6" s="190" t="s">
        <v>298</v>
      </c>
      <c r="L6" s="190" t="s">
        <v>298</v>
      </c>
      <c r="M6" s="190" t="s">
        <v>298</v>
      </c>
    </row>
    <row r="7" spans="1:13" x14ac:dyDescent="0.2">
      <c r="A7" s="88">
        <f>VLOOKUP($C7,SR_Kpw!$B$5:$D$128,3,FALSE)</f>
        <v>5.983285623690997</v>
      </c>
      <c r="B7" s="2">
        <f>VLOOKUP($C7,SR_Kpw!$B$5:$F$128,5,FALSE)</f>
        <v>406.9</v>
      </c>
      <c r="C7" s="296" t="s">
        <v>231</v>
      </c>
      <c r="D7" s="284">
        <v>40.374000000000002</v>
      </c>
      <c r="E7" s="284">
        <v>1369</v>
      </c>
      <c r="F7" s="285">
        <v>1882.8309999999999</v>
      </c>
      <c r="G7" s="285">
        <v>964.46400000000006</v>
      </c>
      <c r="H7" s="285">
        <v>2037.3030000000001</v>
      </c>
      <c r="I7" s="285">
        <v>1606.9010000000001</v>
      </c>
      <c r="J7" s="309">
        <v>1140.396</v>
      </c>
      <c r="K7" s="285">
        <v>1774.1489999999999</v>
      </c>
      <c r="L7" s="286">
        <v>0</v>
      </c>
      <c r="M7" s="287">
        <v>0</v>
      </c>
    </row>
    <row r="8" spans="1:13" x14ac:dyDescent="0.2">
      <c r="A8" s="88">
        <f>VLOOKUP($C8,SR_Kpw!$B$5:$D$128,3,FALSE)</f>
        <v>6.4908855875426212</v>
      </c>
      <c r="B8" s="2">
        <f>VLOOKUP($C8,SR_Kpw!$B$5:$F$128,5,FALSE)</f>
        <v>485.79</v>
      </c>
      <c r="C8" s="297" t="s">
        <v>232</v>
      </c>
      <c r="D8" s="282">
        <v>239.75535265031891</v>
      </c>
      <c r="E8" s="282">
        <v>24574</v>
      </c>
      <c r="F8" s="288">
        <v>94.367000000000004</v>
      </c>
      <c r="G8" s="288">
        <v>22.52</v>
      </c>
      <c r="H8" s="288">
        <v>40.497999999999998</v>
      </c>
      <c r="I8" s="288">
        <v>47.563000000000002</v>
      </c>
      <c r="J8" s="310">
        <v>17.945</v>
      </c>
      <c r="K8" s="288">
        <v>8.718</v>
      </c>
      <c r="L8" s="232">
        <v>13</v>
      </c>
      <c r="M8" s="289">
        <v>13</v>
      </c>
    </row>
    <row r="9" spans="1:13" x14ac:dyDescent="0.2">
      <c r="A9" s="88">
        <f>VLOOKUP($C9,SR_Kpw!$B$5:$D$128,3,FALSE)</f>
        <v>6.9670001485812358</v>
      </c>
      <c r="B9" s="2">
        <f>VLOOKUP($C9,SR_Kpw!$B$5:$F$128,5,FALSE)</f>
        <v>564.69000000000005</v>
      </c>
      <c r="C9" s="298" t="s">
        <v>234</v>
      </c>
      <c r="D9" s="282">
        <v>20.335742011237549</v>
      </c>
      <c r="E9" s="282">
        <v>2901</v>
      </c>
      <c r="F9" s="288">
        <v>378.65800000000002</v>
      </c>
      <c r="G9" s="288">
        <v>136.904</v>
      </c>
      <c r="H9" s="288">
        <v>253.37899999999999</v>
      </c>
      <c r="I9" s="288">
        <v>302.387</v>
      </c>
      <c r="J9" s="310">
        <v>146.13800000000001</v>
      </c>
      <c r="K9" s="288">
        <v>80.87</v>
      </c>
      <c r="L9" s="233">
        <v>3</v>
      </c>
      <c r="M9" s="289">
        <v>3</v>
      </c>
    </row>
    <row r="10" spans="1:13" x14ac:dyDescent="0.2">
      <c r="A10" s="88">
        <f>VLOOKUP($C10,SR_Kpw!$B$5:$D$128,3,FALSE)</f>
        <v>7.1499423607065928</v>
      </c>
      <c r="B10" s="2">
        <f>VLOOKUP($C10,SR_Kpw!$B$5:$F$128,5,FALSE)</f>
        <v>564.69000000000005</v>
      </c>
      <c r="C10" s="298" t="s">
        <v>235</v>
      </c>
      <c r="D10" s="282">
        <v>52.092836830189128</v>
      </c>
      <c r="E10" s="282">
        <v>15559</v>
      </c>
      <c r="F10" s="288">
        <v>47.526000000000003</v>
      </c>
      <c r="G10" s="288">
        <v>15.208</v>
      </c>
      <c r="H10" s="288">
        <v>24.274000000000001</v>
      </c>
      <c r="I10" s="288">
        <v>31.047999999999998</v>
      </c>
      <c r="J10" s="310">
        <v>14.343</v>
      </c>
      <c r="K10" s="288">
        <v>7.0940000000000003</v>
      </c>
      <c r="L10" s="232">
        <v>11</v>
      </c>
      <c r="M10" s="290">
        <v>11</v>
      </c>
    </row>
    <row r="11" spans="1:13" x14ac:dyDescent="0.2">
      <c r="A11" s="88">
        <f>VLOOKUP($C11,SR_Kpw!$B$5:$D$128,3,FALSE)</f>
        <v>7.4398510646483373</v>
      </c>
      <c r="B11" s="2">
        <f>VLOOKUP($C11,SR_Kpw!$B$5:$F$128,5,FALSE)</f>
        <v>643.58000000000004</v>
      </c>
      <c r="C11" s="298" t="s">
        <v>237</v>
      </c>
      <c r="D11" s="282">
        <v>13.635988742707426</v>
      </c>
      <c r="E11" s="282">
        <v>592</v>
      </c>
      <c r="F11" s="288">
        <v>19.123999999999999</v>
      </c>
      <c r="G11" s="288">
        <v>12.23</v>
      </c>
      <c r="H11" s="288">
        <v>18.327000000000002</v>
      </c>
      <c r="I11" s="288">
        <v>19.22</v>
      </c>
      <c r="J11" s="310">
        <v>12.276999999999999</v>
      </c>
      <c r="K11" s="288">
        <v>6.1580000000000004</v>
      </c>
      <c r="L11" s="232">
        <v>1</v>
      </c>
      <c r="M11" s="289">
        <v>1</v>
      </c>
    </row>
    <row r="12" spans="1:13" x14ac:dyDescent="0.2">
      <c r="A12" s="88">
        <f>VLOOKUP($C12,SR_Kpw!$B$5:$D$128,3,FALSE)</f>
        <v>7.415733510086044</v>
      </c>
      <c r="B12" s="2">
        <f>VLOOKUP($C12,SR_Kpw!$B$5:$F$128,5,FALSE)</f>
        <v>643.58000000000004</v>
      </c>
      <c r="C12" s="297" t="s">
        <v>238</v>
      </c>
      <c r="D12" s="282">
        <v>4.8624117279513488</v>
      </c>
      <c r="E12" s="282">
        <v>787</v>
      </c>
      <c r="F12" s="288">
        <v>20.125</v>
      </c>
      <c r="G12" s="288">
        <v>14.010999999999999</v>
      </c>
      <c r="H12" s="288">
        <v>27.859000000000002</v>
      </c>
      <c r="I12" s="288">
        <v>12.574999999999999</v>
      </c>
      <c r="J12" s="310">
        <v>12.029</v>
      </c>
      <c r="K12" s="288">
        <v>7.9379999999999997</v>
      </c>
      <c r="L12" s="232">
        <v>3</v>
      </c>
      <c r="M12" s="289">
        <v>3</v>
      </c>
    </row>
    <row r="13" spans="1:13" x14ac:dyDescent="0.2">
      <c r="A13" s="88">
        <f>VLOOKUP($C13,SR_Kpw!$B$5:$D$128,3,FALSE)</f>
        <v>4.58</v>
      </c>
      <c r="B13" s="2">
        <f>VLOOKUP($C13,SR_Kpw!$B$5:$F$128,5,FALSE)</f>
        <v>641.70000000000005</v>
      </c>
      <c r="C13" s="297" t="s">
        <v>295</v>
      </c>
      <c r="D13" s="282">
        <v>3141.10893325505</v>
      </c>
      <c r="E13" s="282">
        <v>122500</v>
      </c>
      <c r="F13" s="288">
        <v>50.564</v>
      </c>
      <c r="G13" s="288">
        <v>11.987</v>
      </c>
      <c r="H13" s="288">
        <v>26.140999999999998</v>
      </c>
      <c r="I13" s="288">
        <v>14.91</v>
      </c>
      <c r="J13" s="310">
        <v>9.5139999999999993</v>
      </c>
      <c r="K13" s="288">
        <v>6.1109999999999998</v>
      </c>
      <c r="L13" s="232">
        <v>0</v>
      </c>
      <c r="M13" s="289">
        <v>0</v>
      </c>
    </row>
    <row r="14" spans="1:13" x14ac:dyDescent="0.2">
      <c r="A14" s="88">
        <f>VLOOKUP($C14,SR_Kpw!$B$5:$D$128,3,FALSE)</f>
        <v>4.96</v>
      </c>
      <c r="B14" s="2">
        <f>VLOOKUP($C14,SR_Kpw!$B$5:$F$128,5,FALSE)</f>
        <v>641.70000000000005</v>
      </c>
      <c r="C14" s="297" t="s">
        <v>296</v>
      </c>
      <c r="D14" s="282">
        <v>122.73663298687211</v>
      </c>
      <c r="E14" s="282">
        <v>14750</v>
      </c>
      <c r="F14" s="288">
        <v>132.73500000000001</v>
      </c>
      <c r="G14" s="288">
        <v>18.466999999999999</v>
      </c>
      <c r="H14" s="288">
        <v>76.239999999999995</v>
      </c>
      <c r="I14" s="288">
        <v>48.41</v>
      </c>
      <c r="J14" s="310">
        <v>16.431999999999999</v>
      </c>
      <c r="K14" s="288">
        <v>6.585</v>
      </c>
      <c r="L14" s="232">
        <v>0</v>
      </c>
      <c r="M14" s="289">
        <v>0</v>
      </c>
    </row>
    <row r="15" spans="1:13" x14ac:dyDescent="0.2">
      <c r="A15" s="88">
        <f>VLOOKUP($C15,SR_Kpw!$B$5:$D$128,3,FALSE)</f>
        <v>5.3</v>
      </c>
      <c r="B15" s="2">
        <f>VLOOKUP($C15,SR_Kpw!$B$5:$F$128,5,FALSE)</f>
        <v>641.70000000000005</v>
      </c>
      <c r="C15" s="297" t="s">
        <v>297</v>
      </c>
      <c r="D15" s="282">
        <v>0</v>
      </c>
      <c r="E15" s="282">
        <v>27650</v>
      </c>
      <c r="F15" s="288">
        <v>115.378</v>
      </c>
      <c r="G15" s="288">
        <v>23.914000000000001</v>
      </c>
      <c r="H15" s="288">
        <v>45.268999999999998</v>
      </c>
      <c r="I15" s="288">
        <v>42.77</v>
      </c>
      <c r="J15" s="310">
        <v>15.484</v>
      </c>
      <c r="K15" s="288">
        <v>7.1239999999999997</v>
      </c>
      <c r="L15" s="232">
        <v>0</v>
      </c>
      <c r="M15" s="289">
        <v>0</v>
      </c>
    </row>
    <row r="16" spans="1:13" x14ac:dyDescent="0.2">
      <c r="A16" s="88" t="e">
        <f>VLOOKUP($C16,SR_Kpw!$B$5:$D$128,3,FALSE)</f>
        <v>#N/A</v>
      </c>
      <c r="B16" s="2" t="e">
        <f>VLOOKUP($C16,SR_Kpw!$B$5:$F$128,5,FALSE)</f>
        <v>#N/A</v>
      </c>
      <c r="C16" s="298"/>
      <c r="D16" s="291"/>
      <c r="E16" s="291"/>
      <c r="F16" s="288">
        <v>36.813000000000002</v>
      </c>
      <c r="G16" s="288">
        <v>23.693000000000001</v>
      </c>
      <c r="H16" s="288">
        <v>16.588999999999999</v>
      </c>
      <c r="I16" s="288">
        <v>17.873999999999999</v>
      </c>
      <c r="J16" s="310">
        <v>8.1850000000000005</v>
      </c>
      <c r="K16" s="288">
        <v>3.7029999999999998</v>
      </c>
      <c r="L16" s="232">
        <v>0</v>
      </c>
      <c r="M16" s="289">
        <v>0</v>
      </c>
    </row>
    <row r="17" spans="1:13" x14ac:dyDescent="0.2">
      <c r="A17" s="88" t="e">
        <f>VLOOKUP($C17,SR_Kpw!$B$5:$D$128,3,FALSE)</f>
        <v>#N/A</v>
      </c>
      <c r="B17" s="2" t="e">
        <f>VLOOKUP($C17,SR_Kpw!$B$5:$F$128,5,FALSE)</f>
        <v>#N/A</v>
      </c>
      <c r="C17" s="298"/>
      <c r="D17" s="291"/>
      <c r="E17" s="291"/>
      <c r="F17" s="288">
        <v>52.939</v>
      </c>
      <c r="G17" s="288">
        <v>20.260999999999999</v>
      </c>
      <c r="H17" s="288">
        <v>18.233000000000001</v>
      </c>
      <c r="I17" s="288">
        <v>18.57</v>
      </c>
      <c r="J17" s="310">
        <v>7.7960000000000003</v>
      </c>
      <c r="K17" s="288">
        <v>3.177</v>
      </c>
      <c r="L17" s="232">
        <v>0</v>
      </c>
      <c r="M17" s="289">
        <v>0</v>
      </c>
    </row>
    <row r="18" spans="1:13" x14ac:dyDescent="0.2">
      <c r="A18" s="88" t="e">
        <f>VLOOKUP($C18,SR_Kpw!$B$5:$D$128,3,FALSE)</f>
        <v>#N/A</v>
      </c>
      <c r="B18" s="2" t="e">
        <f>VLOOKUP($C18,SR_Kpw!$B$5:$F$128,5,FALSE)</f>
        <v>#N/A</v>
      </c>
      <c r="C18" s="298"/>
      <c r="D18" s="291"/>
      <c r="E18" s="291"/>
      <c r="F18" s="288">
        <v>88.403000000000006</v>
      </c>
      <c r="G18" s="288">
        <v>23.085000000000001</v>
      </c>
      <c r="H18" s="288">
        <v>34.866</v>
      </c>
      <c r="I18" s="288">
        <v>37.283999999999999</v>
      </c>
      <c r="J18" s="310">
        <v>15.196</v>
      </c>
      <c r="K18" s="288">
        <v>6.6420000000000003</v>
      </c>
      <c r="L18" s="232">
        <v>0</v>
      </c>
      <c r="M18" s="289">
        <v>0</v>
      </c>
    </row>
    <row r="19" spans="1:13" ht="13.5" thickBot="1" x14ac:dyDescent="0.25">
      <c r="A19" s="88" t="e">
        <f>VLOOKUP($C19,SR_Kpw!$B$5:$D$128,3,FALSE)</f>
        <v>#N/A</v>
      </c>
      <c r="B19" s="2" t="e">
        <f>VLOOKUP($C19,SR_Kpw!$B$5:$F$128,5,FALSE)</f>
        <v>#N/A</v>
      </c>
      <c r="C19" s="299"/>
      <c r="D19" s="292"/>
      <c r="E19" s="292"/>
      <c r="F19" s="293">
        <v>16.492999999999999</v>
      </c>
      <c r="G19" s="293">
        <v>3.0760000000000001</v>
      </c>
      <c r="H19" s="293">
        <v>4.3079999999999998</v>
      </c>
      <c r="I19" s="293">
        <v>5.0609999999999999</v>
      </c>
      <c r="J19" s="311">
        <v>1.214</v>
      </c>
      <c r="K19" s="293">
        <v>0.54100000000000004</v>
      </c>
      <c r="L19" s="294">
        <v>0</v>
      </c>
      <c r="M19" s="295">
        <v>0</v>
      </c>
    </row>
    <row r="20" spans="1:13" ht="13.5" thickBot="1" x14ac:dyDescent="0.25">
      <c r="C20" s="2"/>
      <c r="D20" s="191"/>
    </row>
    <row r="21" spans="1:13" ht="13.5" thickBot="1" x14ac:dyDescent="0.25">
      <c r="A21" s="283"/>
      <c r="C21" s="166" t="s">
        <v>2</v>
      </c>
      <c r="D21" s="167">
        <f>'Rs kalkulace Altesil MW'!F23</f>
        <v>274.48484569488403</v>
      </c>
      <c r="E21" s="167">
        <f>'Rs kalkulace Altesil MW'!G23</f>
        <v>158.81100018237649</v>
      </c>
      <c r="F21" s="167">
        <f>'Rs kalkulace Altesil MW'!H23</f>
        <v>287.3850248804298</v>
      </c>
      <c r="G21" s="167">
        <f>'Rs kalkulace Altesil MW'!I23</f>
        <v>919.58847140071703</v>
      </c>
      <c r="H21" s="167">
        <f>'Rs kalkulace Altesil MW'!J23</f>
        <v>373.8040635503279</v>
      </c>
      <c r="I21" s="167">
        <f>'Rs kalkulace Altesil MW'!K23</f>
        <v>450.84108245757625</v>
      </c>
      <c r="J21" s="249">
        <f>'Rs kalkulace Altesil MW'!L23</f>
        <v>403.38933574665839</v>
      </c>
      <c r="K21" s="167">
        <f>'Rs kalkulace Altesil MW'!M23</f>
        <v>292.91557068484349</v>
      </c>
    </row>
    <row r="22" spans="1:13" x14ac:dyDescent="0.2">
      <c r="C22" s="193"/>
      <c r="D22" s="194"/>
      <c r="E22" s="194"/>
      <c r="F22" s="194"/>
      <c r="G22" s="194"/>
      <c r="H22" s="194"/>
      <c r="I22" s="194"/>
      <c r="J22" s="312"/>
      <c r="K22" s="194"/>
    </row>
    <row r="23" spans="1:13" ht="15.75" thickBot="1" x14ac:dyDescent="0.3">
      <c r="C23" s="195" t="s">
        <v>217</v>
      </c>
      <c r="D23" s="195" t="s">
        <v>300</v>
      </c>
      <c r="E23" s="195"/>
    </row>
    <row r="24" spans="1:13" x14ac:dyDescent="0.2">
      <c r="C24" s="300" t="str">
        <f>C7</f>
        <v>BDE 28</v>
      </c>
      <c r="D24" s="305">
        <f t="shared" ref="D24:K36" si="0">1-EXP(-D$21*$B7^-0.47*D$4/10^$A7/(D$3/1000))</f>
        <v>0.11680287621905205</v>
      </c>
      <c r="E24" s="305">
        <f t="shared" si="0"/>
        <v>4.8123593285790189E-2</v>
      </c>
      <c r="F24" s="170">
        <f t="shared" si="0"/>
        <v>3.5390673802166317E-2</v>
      </c>
      <c r="G24" s="170">
        <f t="shared" si="0"/>
        <v>0.11162189448829585</v>
      </c>
      <c r="H24" s="170">
        <f t="shared" si="0"/>
        <v>5.7343795645698803E-2</v>
      </c>
      <c r="I24" s="170">
        <f t="shared" si="0"/>
        <v>5.6887385170460103E-2</v>
      </c>
      <c r="J24" s="313">
        <f t="shared" si="0"/>
        <v>4.8232779590396957E-2</v>
      </c>
      <c r="K24" s="170">
        <f t="shared" si="0"/>
        <v>3.4340915838894648E-2</v>
      </c>
      <c r="L24" s="196"/>
    </row>
    <row r="25" spans="1:13" x14ac:dyDescent="0.2">
      <c r="C25" s="298" t="str">
        <f t="shared" ref="C25:C36" si="1">C8</f>
        <v>BDE 47</v>
      </c>
      <c r="D25" s="306">
        <f t="shared" si="0"/>
        <v>3.4888758246082285E-2</v>
      </c>
      <c r="E25" s="306">
        <f t="shared" si="0"/>
        <v>1.4002118910455108E-2</v>
      </c>
      <c r="F25" s="172">
        <f t="shared" si="0"/>
        <v>1.0249033658378259E-2</v>
      </c>
      <c r="G25" s="172">
        <f t="shared" si="0"/>
        <v>3.3273460168372182E-2</v>
      </c>
      <c r="H25" s="172">
        <f t="shared" si="0"/>
        <v>1.674225437278154E-2</v>
      </c>
      <c r="I25" s="172">
        <f t="shared" si="0"/>
        <v>1.660616537729942E-2</v>
      </c>
      <c r="J25" s="314">
        <f t="shared" si="0"/>
        <v>1.4034456660248718E-2</v>
      </c>
      <c r="K25" s="172">
        <f t="shared" si="0"/>
        <v>9.9411948286153295E-3</v>
      </c>
      <c r="L25" s="196"/>
    </row>
    <row r="26" spans="1:13" x14ac:dyDescent="0.2">
      <c r="C26" s="298" t="str">
        <f t="shared" si="1"/>
        <v>BDE 100</v>
      </c>
      <c r="D26" s="306">
        <f t="shared" si="0"/>
        <v>1.0993634182381307E-2</v>
      </c>
      <c r="E26" s="306">
        <f t="shared" si="0"/>
        <v>4.379906799215405E-3</v>
      </c>
      <c r="F26" s="172">
        <f t="shared" si="0"/>
        <v>3.2017496657238409E-3</v>
      </c>
      <c r="G26" s="172">
        <f t="shared" si="0"/>
        <v>1.0478654884182648E-2</v>
      </c>
      <c r="H26" s="172">
        <f t="shared" si="0"/>
        <v>5.242033882784658E-3</v>
      </c>
      <c r="I26" s="172">
        <f t="shared" si="0"/>
        <v>5.199177266196231E-3</v>
      </c>
      <c r="J26" s="314">
        <f t="shared" si="0"/>
        <v>4.3900715771224563E-3</v>
      </c>
      <c r="K26" s="172">
        <f t="shared" si="0"/>
        <v>3.1052504586653873E-3</v>
      </c>
      <c r="L26" s="196"/>
    </row>
    <row r="27" spans="1:13" x14ac:dyDescent="0.2">
      <c r="C27" s="298" t="str">
        <f t="shared" si="1"/>
        <v>BDE 99</v>
      </c>
      <c r="D27" s="306">
        <f t="shared" si="0"/>
        <v>7.2280809730510542E-3</v>
      </c>
      <c r="E27" s="306">
        <f t="shared" si="0"/>
        <v>2.8764056196656229E-3</v>
      </c>
      <c r="F27" s="172">
        <f t="shared" si="0"/>
        <v>2.1022503956442673E-3</v>
      </c>
      <c r="G27" s="172">
        <f t="shared" si="0"/>
        <v>6.8888784342080456E-3</v>
      </c>
      <c r="H27" s="172">
        <f t="shared" si="0"/>
        <v>3.443100222029094E-3</v>
      </c>
      <c r="I27" s="172">
        <f t="shared" si="0"/>
        <v>3.4149256629465441E-3</v>
      </c>
      <c r="J27" s="314">
        <f t="shared" si="0"/>
        <v>2.8830861629794979E-3</v>
      </c>
      <c r="K27" s="172">
        <f t="shared" si="0"/>
        <v>2.0388556764534549E-3</v>
      </c>
      <c r="L27" s="196"/>
    </row>
    <row r="28" spans="1:13" x14ac:dyDescent="0.2">
      <c r="C28" s="298" t="str">
        <f t="shared" si="1"/>
        <v>BDE 154</v>
      </c>
      <c r="D28" s="306">
        <f t="shared" si="0"/>
        <v>3.4933049135954519E-3</v>
      </c>
      <c r="E28" s="306">
        <f t="shared" si="0"/>
        <v>1.3885855065836061E-3</v>
      </c>
      <c r="F28" s="172">
        <f t="shared" si="0"/>
        <v>1.0146581913655917E-3</v>
      </c>
      <c r="G28" s="172">
        <f t="shared" si="0"/>
        <v>3.3290757501951429E-3</v>
      </c>
      <c r="H28" s="172">
        <f t="shared" si="0"/>
        <v>1.6624018393831541E-3</v>
      </c>
      <c r="I28" s="172">
        <f t="shared" si="0"/>
        <v>1.6487865108358868E-3</v>
      </c>
      <c r="J28" s="314">
        <f t="shared" si="0"/>
        <v>1.3918129520910094E-3</v>
      </c>
      <c r="K28" s="172">
        <f t="shared" si="0"/>
        <v>9.840443475001015E-4</v>
      </c>
      <c r="L28" s="196"/>
    </row>
    <row r="29" spans="1:13" x14ac:dyDescent="0.2">
      <c r="C29" s="298" t="str">
        <f t="shared" si="1"/>
        <v>BDE 153</v>
      </c>
      <c r="D29" s="306">
        <f t="shared" si="0"/>
        <v>3.6924164992163666E-3</v>
      </c>
      <c r="E29" s="306">
        <f t="shared" si="0"/>
        <v>1.4678205252950383E-3</v>
      </c>
      <c r="F29" s="172">
        <f t="shared" si="0"/>
        <v>1.0725677501557396E-3</v>
      </c>
      <c r="G29" s="172">
        <f t="shared" si="0"/>
        <v>3.5188431299608691E-3</v>
      </c>
      <c r="H29" s="172">
        <f t="shared" si="0"/>
        <v>1.7572475255258624E-3</v>
      </c>
      <c r="I29" s="172">
        <f t="shared" si="0"/>
        <v>1.7428560743782961E-3</v>
      </c>
      <c r="J29" s="314">
        <f t="shared" si="0"/>
        <v>1.4712319985608069E-3</v>
      </c>
      <c r="K29" s="172">
        <f t="shared" si="0"/>
        <v>1.0402075930513455E-3</v>
      </c>
      <c r="L29" s="196"/>
    </row>
    <row r="30" spans="1:13" x14ac:dyDescent="0.2">
      <c r="C30" s="298" t="str">
        <f t="shared" si="1"/>
        <v>aHBCD</v>
      </c>
      <c r="D30" s="306">
        <f t="shared" si="0"/>
        <v>0.92095388452821336</v>
      </c>
      <c r="E30" s="306">
        <f t="shared" si="0"/>
        <v>0.63493495899487495</v>
      </c>
      <c r="F30" s="172">
        <f t="shared" si="0"/>
        <v>0.52106357505647061</v>
      </c>
      <c r="G30" s="172">
        <f t="shared" si="0"/>
        <v>0.91091994753643235</v>
      </c>
      <c r="H30" s="172">
        <f t="shared" si="0"/>
        <v>0.7007722652989592</v>
      </c>
      <c r="I30" s="172">
        <f t="shared" si="0"/>
        <v>0.697798223036042</v>
      </c>
      <c r="J30" s="314">
        <f t="shared" si="0"/>
        <v>0.63578957830396088</v>
      </c>
      <c r="K30" s="172">
        <f t="shared" si="0"/>
        <v>0.51030108573414568</v>
      </c>
      <c r="L30" s="196"/>
    </row>
    <row r="31" spans="1:13" x14ac:dyDescent="0.2">
      <c r="C31" s="298" t="str">
        <f t="shared" si="1"/>
        <v>bHBCD</v>
      </c>
      <c r="D31" s="306">
        <f t="shared" si="0"/>
        <v>0.65281565258784835</v>
      </c>
      <c r="E31" s="306">
        <f t="shared" si="0"/>
        <v>0.3429997202897096</v>
      </c>
      <c r="F31" s="172">
        <f t="shared" si="0"/>
        <v>0.26427141141821009</v>
      </c>
      <c r="G31" s="172">
        <f t="shared" si="0"/>
        <v>0.63508171128041702</v>
      </c>
      <c r="H31" s="172">
        <f t="shared" si="0"/>
        <v>0.39527042041789218</v>
      </c>
      <c r="I31" s="172">
        <f t="shared" si="0"/>
        <v>0.39277207364616573</v>
      </c>
      <c r="J31" s="314">
        <f t="shared" si="0"/>
        <v>0.34364132080583887</v>
      </c>
      <c r="K31" s="172">
        <f t="shared" si="0"/>
        <v>0.25742392566217986</v>
      </c>
      <c r="L31" s="196"/>
    </row>
    <row r="32" spans="1:13" x14ac:dyDescent="0.2">
      <c r="C32" s="298" t="str">
        <f t="shared" si="1"/>
        <v>gHBCD</v>
      </c>
      <c r="D32" s="306">
        <f t="shared" si="0"/>
        <v>0.38341143699973801</v>
      </c>
      <c r="E32" s="306">
        <f t="shared" si="0"/>
        <v>0.17470090369185454</v>
      </c>
      <c r="F32" s="172">
        <f t="shared" si="0"/>
        <v>0.13088308235267465</v>
      </c>
      <c r="G32" s="172">
        <f t="shared" si="0"/>
        <v>0.36921000996924536</v>
      </c>
      <c r="H32" s="172">
        <f t="shared" si="0"/>
        <v>0.20538966401235281</v>
      </c>
      <c r="I32" s="172">
        <f t="shared" si="0"/>
        <v>0.20389080969035478</v>
      </c>
      <c r="J32" s="314">
        <f t="shared" si="0"/>
        <v>0.17506939367848429</v>
      </c>
      <c r="K32" s="172">
        <f t="shared" si="0"/>
        <v>0.1271950193906014</v>
      </c>
      <c r="L32" s="196"/>
    </row>
    <row r="33" spans="3:12" x14ac:dyDescent="0.2">
      <c r="C33" s="298">
        <f t="shared" si="1"/>
        <v>0</v>
      </c>
      <c r="D33" s="306" t="e">
        <f t="shared" si="0"/>
        <v>#N/A</v>
      </c>
      <c r="E33" s="306" t="e">
        <f t="shared" si="0"/>
        <v>#N/A</v>
      </c>
      <c r="F33" s="172" t="e">
        <f t="shared" si="0"/>
        <v>#N/A</v>
      </c>
      <c r="G33" s="172" t="e">
        <f t="shared" si="0"/>
        <v>#N/A</v>
      </c>
      <c r="H33" s="172" t="e">
        <f t="shared" si="0"/>
        <v>#N/A</v>
      </c>
      <c r="I33" s="172" t="e">
        <f t="shared" si="0"/>
        <v>#N/A</v>
      </c>
      <c r="J33" s="314" t="e">
        <f t="shared" si="0"/>
        <v>#N/A</v>
      </c>
      <c r="K33" s="172" t="e">
        <f t="shared" si="0"/>
        <v>#N/A</v>
      </c>
      <c r="L33" s="196"/>
    </row>
    <row r="34" spans="3:12" x14ac:dyDescent="0.2">
      <c r="C34" s="298">
        <f t="shared" si="1"/>
        <v>0</v>
      </c>
      <c r="D34" s="306" t="e">
        <f t="shared" si="0"/>
        <v>#N/A</v>
      </c>
      <c r="E34" s="306" t="e">
        <f t="shared" si="0"/>
        <v>#N/A</v>
      </c>
      <c r="F34" s="172" t="e">
        <f t="shared" si="0"/>
        <v>#N/A</v>
      </c>
      <c r="G34" s="172" t="e">
        <f t="shared" si="0"/>
        <v>#N/A</v>
      </c>
      <c r="H34" s="172" t="e">
        <f t="shared" si="0"/>
        <v>#N/A</v>
      </c>
      <c r="I34" s="172" t="e">
        <f t="shared" si="0"/>
        <v>#N/A</v>
      </c>
      <c r="J34" s="314" t="e">
        <f t="shared" si="0"/>
        <v>#N/A</v>
      </c>
      <c r="K34" s="172" t="e">
        <f t="shared" si="0"/>
        <v>#N/A</v>
      </c>
      <c r="L34" s="196"/>
    </row>
    <row r="35" spans="3:12" x14ac:dyDescent="0.2">
      <c r="C35" s="298">
        <f t="shared" si="1"/>
        <v>0</v>
      </c>
      <c r="D35" s="306" t="e">
        <f t="shared" si="0"/>
        <v>#N/A</v>
      </c>
      <c r="E35" s="306" t="e">
        <f t="shared" si="0"/>
        <v>#N/A</v>
      </c>
      <c r="F35" s="172" t="e">
        <f t="shared" si="0"/>
        <v>#N/A</v>
      </c>
      <c r="G35" s="172" t="e">
        <f t="shared" si="0"/>
        <v>#N/A</v>
      </c>
      <c r="H35" s="172" t="e">
        <f t="shared" si="0"/>
        <v>#N/A</v>
      </c>
      <c r="I35" s="172" t="e">
        <f t="shared" si="0"/>
        <v>#N/A</v>
      </c>
      <c r="J35" s="314" t="e">
        <f t="shared" si="0"/>
        <v>#N/A</v>
      </c>
      <c r="K35" s="172" t="e">
        <f t="shared" si="0"/>
        <v>#N/A</v>
      </c>
      <c r="L35" s="196"/>
    </row>
    <row r="36" spans="3:12" ht="13.5" thickBot="1" x14ac:dyDescent="0.25">
      <c r="C36" s="299">
        <f t="shared" si="1"/>
        <v>0</v>
      </c>
      <c r="D36" s="307" t="e">
        <f t="shared" si="0"/>
        <v>#N/A</v>
      </c>
      <c r="E36" s="307" t="e">
        <f t="shared" si="0"/>
        <v>#N/A</v>
      </c>
      <c r="F36" s="174" t="e">
        <f t="shared" si="0"/>
        <v>#N/A</v>
      </c>
      <c r="G36" s="174" t="e">
        <f t="shared" si="0"/>
        <v>#N/A</v>
      </c>
      <c r="H36" s="174" t="e">
        <f t="shared" si="0"/>
        <v>#N/A</v>
      </c>
      <c r="I36" s="174" t="e">
        <f t="shared" si="0"/>
        <v>#N/A</v>
      </c>
      <c r="J36" s="315" t="e">
        <f t="shared" si="0"/>
        <v>#N/A</v>
      </c>
      <c r="K36" s="174" t="e">
        <f t="shared" si="0"/>
        <v>#N/A</v>
      </c>
      <c r="L36" s="196"/>
    </row>
    <row r="37" spans="3:12" x14ac:dyDescent="0.2">
      <c r="C37" s="197"/>
      <c r="D37" s="172"/>
      <c r="E37" s="172"/>
      <c r="F37" s="172"/>
      <c r="G37" s="172"/>
      <c r="H37" s="172"/>
      <c r="I37" s="172"/>
      <c r="J37" s="314"/>
      <c r="K37" s="172"/>
      <c r="L37" s="196"/>
    </row>
    <row r="38" spans="3:12" ht="17.25" thickBot="1" x14ac:dyDescent="0.35">
      <c r="C38" s="195" t="s">
        <v>290</v>
      </c>
      <c r="D38" s="195" t="s">
        <v>289</v>
      </c>
      <c r="E38" s="195"/>
    </row>
    <row r="39" spans="3:12" ht="13.5" thickBot="1" x14ac:dyDescent="0.25">
      <c r="C39" s="175" t="str">
        <f>C2</f>
        <v>Sample ID</v>
      </c>
      <c r="D39" s="198" t="str">
        <f t="shared" ref="D39:K39" si="2">D2</f>
        <v>Příklad1</v>
      </c>
      <c r="E39" s="199" t="str">
        <f t="shared" si="2"/>
        <v>Příklad 2</v>
      </c>
      <c r="F39" s="199">
        <f t="shared" si="2"/>
        <v>3</v>
      </c>
      <c r="G39" s="199">
        <f t="shared" si="2"/>
        <v>4</v>
      </c>
      <c r="H39" s="199">
        <f t="shared" si="2"/>
        <v>5</v>
      </c>
      <c r="I39" s="199">
        <f t="shared" si="2"/>
        <v>6</v>
      </c>
      <c r="J39" s="316">
        <f t="shared" si="2"/>
        <v>7</v>
      </c>
      <c r="K39" s="199">
        <f t="shared" si="2"/>
        <v>8</v>
      </c>
      <c r="L39" s="200"/>
    </row>
    <row r="40" spans="3:12" x14ac:dyDescent="0.2">
      <c r="C40" s="300" t="str">
        <f>C7</f>
        <v>BDE 28</v>
      </c>
      <c r="D40" s="304">
        <f>D7/(10^$A7*D$3/1000*D24)</f>
        <v>1.6065373194853447E-2</v>
      </c>
      <c r="E40" s="304">
        <f t="shared" ref="E40:I40" si="3">E7/(10^$A7*E$3/1000*E24)</f>
        <v>1.3287086472519638</v>
      </c>
      <c r="F40" s="236">
        <f t="shared" si="3"/>
        <v>2.740459207371428</v>
      </c>
      <c r="G40" s="236">
        <f t="shared" si="3"/>
        <v>0.43564313521244724</v>
      </c>
      <c r="H40" s="236">
        <f t="shared" si="3"/>
        <v>1.7838370603745533</v>
      </c>
      <c r="I40" s="236">
        <f t="shared" si="3"/>
        <v>1.4717420913992978</v>
      </c>
      <c r="J40" s="317">
        <f t="shared" ref="J40:K40" si="4">J7/(10^$A7*J$3/1000*J24)</f>
        <v>1.1904112906045803</v>
      </c>
      <c r="K40" s="236">
        <f t="shared" si="4"/>
        <v>2.6620010836174139</v>
      </c>
      <c r="L40" s="200"/>
    </row>
    <row r="41" spans="3:12" x14ac:dyDescent="0.2">
      <c r="C41" s="298" t="str">
        <f t="shared" ref="C41:C52" si="5">C8</f>
        <v>BDE 47</v>
      </c>
      <c r="D41" s="304">
        <f t="shared" ref="D41:K52" si="6">D8/(10^$A8*D$3/1000*D25)</f>
        <v>9.9248833853185059E-2</v>
      </c>
      <c r="E41" s="304">
        <f t="shared" si="6"/>
        <v>25.4722019683485</v>
      </c>
      <c r="F41" s="236">
        <f t="shared" si="6"/>
        <v>0.14737984600295387</v>
      </c>
      <c r="G41" s="236">
        <f t="shared" si="6"/>
        <v>1.0603877416781546E-2</v>
      </c>
      <c r="H41" s="236">
        <f t="shared" si="6"/>
        <v>3.7740327958919573E-2</v>
      </c>
      <c r="I41" s="236">
        <f t="shared" si="6"/>
        <v>4.6372283116981099E-2</v>
      </c>
      <c r="J41" s="317">
        <f t="shared" ref="J41:K41" si="7">J8/(10^$A8*J$3/1000*J25)</f>
        <v>2.0004676724090439E-2</v>
      </c>
      <c r="K41" s="236">
        <f t="shared" si="7"/>
        <v>1.4041332575399365E-2</v>
      </c>
      <c r="L41" s="200"/>
    </row>
    <row r="42" spans="3:12" x14ac:dyDescent="0.2">
      <c r="C42" s="298" t="str">
        <f t="shared" si="5"/>
        <v>BDE 100</v>
      </c>
      <c r="D42" s="304">
        <f t="shared" si="6"/>
        <v>8.925792659571918E-3</v>
      </c>
      <c r="E42" s="304">
        <f t="shared" si="6"/>
        <v>3.211831075515593</v>
      </c>
      <c r="F42" s="236">
        <f t="shared" si="6"/>
        <v>0.63247894397360149</v>
      </c>
      <c r="G42" s="236">
        <f t="shared" si="6"/>
        <v>6.8389640045626032E-2</v>
      </c>
      <c r="H42" s="236">
        <f t="shared" si="6"/>
        <v>0.25196618641642171</v>
      </c>
      <c r="I42" s="236">
        <f t="shared" si="6"/>
        <v>0.31461000389322669</v>
      </c>
      <c r="J42" s="317">
        <f t="shared" ref="J42:K42" si="8">J9/(10^$A9*J$3/1000*J26)</f>
        <v>0.17400457850376069</v>
      </c>
      <c r="K42" s="236">
        <f t="shared" si="8"/>
        <v>0.13931769932227259</v>
      </c>
      <c r="L42" s="200"/>
    </row>
    <row r="43" spans="3:12" x14ac:dyDescent="0.2">
      <c r="C43" s="298" t="str">
        <f t="shared" si="5"/>
        <v>BDE 99</v>
      </c>
      <c r="D43" s="304">
        <f t="shared" si="6"/>
        <v>2.2821324141087628E-2</v>
      </c>
      <c r="E43" s="304">
        <f t="shared" si="6"/>
        <v>17.21310334524707</v>
      </c>
      <c r="F43" s="236">
        <f t="shared" si="6"/>
        <v>7.9339766261015937E-2</v>
      </c>
      <c r="G43" s="236">
        <f t="shared" si="6"/>
        <v>7.5833497839921512E-3</v>
      </c>
      <c r="H43" s="236">
        <f t="shared" si="6"/>
        <v>2.4116869864613567E-2</v>
      </c>
      <c r="I43" s="236">
        <f t="shared" si="6"/>
        <v>3.2274104438946204E-2</v>
      </c>
      <c r="J43" s="317">
        <f t="shared" ref="J43:K43" si="9">J10/(10^$A10*J$3/1000*J27)</f>
        <v>1.7065117467997257E-2</v>
      </c>
      <c r="K43" s="236">
        <f t="shared" si="9"/>
        <v>1.2214564095344056E-2</v>
      </c>
      <c r="L43" s="200"/>
    </row>
    <row r="44" spans="3:12" x14ac:dyDescent="0.2">
      <c r="C44" s="298" t="str">
        <f t="shared" si="5"/>
        <v>BDE 154</v>
      </c>
      <c r="D44" s="304">
        <f t="shared" si="6"/>
        <v>6.3405550190367473E-3</v>
      </c>
      <c r="E44" s="304">
        <f t="shared" si="6"/>
        <v>0.69593391061386367</v>
      </c>
      <c r="F44" s="236">
        <f t="shared" si="6"/>
        <v>3.3930820461069502E-2</v>
      </c>
      <c r="G44" s="236">
        <f t="shared" si="6"/>
        <v>6.4733871493270782E-3</v>
      </c>
      <c r="H44" s="236">
        <f t="shared" si="6"/>
        <v>1.9345320172147445E-2</v>
      </c>
      <c r="I44" s="236">
        <f t="shared" si="6"/>
        <v>2.12266802671486E-2</v>
      </c>
      <c r="J44" s="317">
        <f t="shared" ref="J44:K44" si="10">J11/(10^$A11*J$3/1000*J28)</f>
        <v>1.5521353269482206E-2</v>
      </c>
      <c r="K44" s="236">
        <f t="shared" si="10"/>
        <v>1.1269109085756688E-2</v>
      </c>
      <c r="L44" s="200"/>
    </row>
    <row r="45" spans="3:12" x14ac:dyDescent="0.2">
      <c r="C45" s="298" t="str">
        <f t="shared" si="5"/>
        <v>BDE 153</v>
      </c>
      <c r="D45" s="304">
        <f t="shared" si="6"/>
        <v>2.2611831371529079E-3</v>
      </c>
      <c r="E45" s="304">
        <f t="shared" si="6"/>
        <v>0.92520559535723468</v>
      </c>
      <c r="F45" s="236">
        <f t="shared" si="6"/>
        <v>3.5707882831678868E-2</v>
      </c>
      <c r="G45" s="236">
        <f t="shared" si="6"/>
        <v>7.4167831734416583E-3</v>
      </c>
      <c r="H45" s="236">
        <f t="shared" si="6"/>
        <v>2.9408352151679279E-2</v>
      </c>
      <c r="I45" s="236">
        <f t="shared" si="6"/>
        <v>1.3888557607059926E-2</v>
      </c>
      <c r="J45" s="317">
        <f t="shared" ref="J45:K45" si="11">J12/(10^$A12*J$3/1000*J29)</f>
        <v>1.5208420746314271E-2</v>
      </c>
      <c r="K45" s="236">
        <f t="shared" si="11"/>
        <v>1.4526908427654075E-2</v>
      </c>
      <c r="L45" s="200"/>
    </row>
    <row r="46" spans="3:12" x14ac:dyDescent="0.2">
      <c r="C46" s="298" t="str">
        <f t="shared" si="5"/>
        <v>aHBCD</v>
      </c>
      <c r="D46" s="304">
        <f t="shared" si="6"/>
        <v>4.0121144630409526</v>
      </c>
      <c r="E46" s="304">
        <f t="shared" si="6"/>
        <v>228.07455372783787</v>
      </c>
      <c r="F46" s="236">
        <f t="shared" si="6"/>
        <v>0.12651358556118533</v>
      </c>
      <c r="G46" s="236">
        <f t="shared" si="6"/>
        <v>1.6792299018674531E-2</v>
      </c>
      <c r="H46" s="236">
        <f t="shared" si="6"/>
        <v>4.7404209545384247E-2</v>
      </c>
      <c r="I46" s="236">
        <f t="shared" si="6"/>
        <v>2.8176819478493192E-2</v>
      </c>
      <c r="J46" s="317">
        <f t="shared" ref="J46:K46" si="12">J13/(10^$A13*J$3/1000*J30)</f>
        <v>1.9068608770410396E-2</v>
      </c>
      <c r="K46" s="236">
        <f t="shared" si="12"/>
        <v>1.5617137189375159E-2</v>
      </c>
      <c r="L46" s="200"/>
    </row>
    <row r="47" spans="3:12" x14ac:dyDescent="0.2">
      <c r="C47" s="298" t="str">
        <f t="shared" si="5"/>
        <v>bHBCD</v>
      </c>
      <c r="D47" s="304">
        <f t="shared" si="6"/>
        <v>9.2195950699550916E-2</v>
      </c>
      <c r="E47" s="304">
        <f t="shared" si="6"/>
        <v>21.191819152822056</v>
      </c>
      <c r="F47" s="236">
        <f t="shared" si="6"/>
        <v>0.27297427837319066</v>
      </c>
      <c r="G47" s="236">
        <f t="shared" si="6"/>
        <v>1.5468443275188757E-2</v>
      </c>
      <c r="H47" s="236">
        <f t="shared" si="6"/>
        <v>0.10217865680949059</v>
      </c>
      <c r="I47" s="236">
        <f t="shared" si="6"/>
        <v>6.7754581380127493E-2</v>
      </c>
      <c r="J47" s="317">
        <f t="shared" ref="J47:K47" si="13">J14/(10^$A14*J$3/1000*J31)</f>
        <v>2.5401204610072906E-2</v>
      </c>
      <c r="K47" s="236">
        <f t="shared" si="13"/>
        <v>1.3906649354808719E-2</v>
      </c>
      <c r="L47" s="200"/>
    </row>
    <row r="48" spans="3:12" x14ac:dyDescent="0.2">
      <c r="C48" s="298" t="str">
        <f t="shared" si="5"/>
        <v>gHBCD</v>
      </c>
      <c r="D48" s="304">
        <f t="shared" si="6"/>
        <v>0</v>
      </c>
      <c r="E48" s="304">
        <f t="shared" si="6"/>
        <v>35.650856559506188</v>
      </c>
      <c r="F48" s="236">
        <f t="shared" si="6"/>
        <v>0.2189908396837271</v>
      </c>
      <c r="G48" s="236">
        <f t="shared" si="6"/>
        <v>1.5749204566082094E-2</v>
      </c>
      <c r="H48" s="236">
        <f t="shared" si="6"/>
        <v>5.336959828774774E-2</v>
      </c>
      <c r="I48" s="236">
        <f t="shared" si="6"/>
        <v>5.2709122361417109E-2</v>
      </c>
      <c r="J48" s="317">
        <f t="shared" ref="J48:K48" si="14">J15/(10^$A15*J$3/1000*J32)</f>
        <v>2.1475446453594151E-2</v>
      </c>
      <c r="K48" s="236">
        <f t="shared" si="14"/>
        <v>1.3917763069257764E-2</v>
      </c>
      <c r="L48" s="200"/>
    </row>
    <row r="49" spans="1:12" x14ac:dyDescent="0.2">
      <c r="C49" s="298">
        <f t="shared" si="5"/>
        <v>0</v>
      </c>
      <c r="D49" s="304" t="e">
        <f t="shared" si="6"/>
        <v>#N/A</v>
      </c>
      <c r="E49" s="304" t="e">
        <f t="shared" si="6"/>
        <v>#N/A</v>
      </c>
      <c r="F49" s="236" t="e">
        <f t="shared" si="6"/>
        <v>#N/A</v>
      </c>
      <c r="G49" s="236" t="e">
        <f t="shared" si="6"/>
        <v>#N/A</v>
      </c>
      <c r="H49" s="236" t="e">
        <f t="shared" si="6"/>
        <v>#N/A</v>
      </c>
      <c r="I49" s="236" t="e">
        <f t="shared" si="6"/>
        <v>#N/A</v>
      </c>
      <c r="J49" s="317" t="e">
        <f t="shared" si="6"/>
        <v>#N/A</v>
      </c>
      <c r="K49" s="236" t="e">
        <f t="shared" si="6"/>
        <v>#N/A</v>
      </c>
      <c r="L49" s="200"/>
    </row>
    <row r="50" spans="1:12" x14ac:dyDescent="0.2">
      <c r="C50" s="298">
        <f t="shared" si="5"/>
        <v>0</v>
      </c>
      <c r="D50" s="304" t="e">
        <f t="shared" si="6"/>
        <v>#N/A</v>
      </c>
      <c r="E50" s="304" t="e">
        <f t="shared" si="6"/>
        <v>#N/A</v>
      </c>
      <c r="F50" s="236" t="e">
        <f t="shared" si="6"/>
        <v>#N/A</v>
      </c>
      <c r="G50" s="236" t="e">
        <f t="shared" si="6"/>
        <v>#N/A</v>
      </c>
      <c r="H50" s="236" t="e">
        <f t="shared" si="6"/>
        <v>#N/A</v>
      </c>
      <c r="I50" s="236" t="e">
        <f t="shared" si="6"/>
        <v>#N/A</v>
      </c>
      <c r="J50" s="317" t="e">
        <f t="shared" si="6"/>
        <v>#N/A</v>
      </c>
      <c r="K50" s="236" t="e">
        <f t="shared" si="6"/>
        <v>#N/A</v>
      </c>
      <c r="L50" s="200"/>
    </row>
    <row r="51" spans="1:12" x14ac:dyDescent="0.2">
      <c r="C51" s="298">
        <f t="shared" si="5"/>
        <v>0</v>
      </c>
      <c r="D51" s="304" t="e">
        <f t="shared" si="6"/>
        <v>#N/A</v>
      </c>
      <c r="E51" s="304" t="e">
        <f t="shared" si="6"/>
        <v>#N/A</v>
      </c>
      <c r="F51" s="236" t="e">
        <f t="shared" si="6"/>
        <v>#N/A</v>
      </c>
      <c r="G51" s="236" t="e">
        <f t="shared" si="6"/>
        <v>#N/A</v>
      </c>
      <c r="H51" s="236" t="e">
        <f t="shared" si="6"/>
        <v>#N/A</v>
      </c>
      <c r="I51" s="236" t="e">
        <f t="shared" si="6"/>
        <v>#N/A</v>
      </c>
      <c r="J51" s="317" t="e">
        <f t="shared" si="6"/>
        <v>#N/A</v>
      </c>
      <c r="K51" s="236" t="e">
        <f t="shared" si="6"/>
        <v>#N/A</v>
      </c>
      <c r="L51" s="200"/>
    </row>
    <row r="52" spans="1:12" ht="13.5" thickBot="1" x14ac:dyDescent="0.25">
      <c r="A52" s="234"/>
      <c r="C52" s="299">
        <f t="shared" si="5"/>
        <v>0</v>
      </c>
      <c r="D52" s="304" t="e">
        <f t="shared" si="6"/>
        <v>#N/A</v>
      </c>
      <c r="E52" s="304" t="e">
        <f t="shared" si="6"/>
        <v>#N/A</v>
      </c>
      <c r="F52" s="236" t="e">
        <f t="shared" si="6"/>
        <v>#N/A</v>
      </c>
      <c r="G52" s="236" t="e">
        <f t="shared" si="6"/>
        <v>#N/A</v>
      </c>
      <c r="H52" s="236" t="e">
        <f t="shared" si="6"/>
        <v>#N/A</v>
      </c>
      <c r="I52" s="236" t="e">
        <f t="shared" si="6"/>
        <v>#N/A</v>
      </c>
      <c r="J52" s="317" t="e">
        <f t="shared" si="6"/>
        <v>#N/A</v>
      </c>
      <c r="K52" s="236" t="e">
        <f t="shared" si="6"/>
        <v>#N/A</v>
      </c>
      <c r="L52" s="200"/>
    </row>
    <row r="53" spans="1:12" x14ac:dyDescent="0.2">
      <c r="D53" s="234"/>
    </row>
    <row r="54" spans="1:12" ht="17.25" thickBot="1" x14ac:dyDescent="0.35">
      <c r="C54" s="195" t="s">
        <v>290</v>
      </c>
      <c r="D54" s="195" t="s">
        <v>288</v>
      </c>
      <c r="E54" s="195"/>
    </row>
    <row r="55" spans="1:12" ht="13.5" thickBot="1" x14ac:dyDescent="0.25">
      <c r="C55" s="175" t="str">
        <f>C2</f>
        <v>Sample ID</v>
      </c>
      <c r="D55" s="198" t="str">
        <f>D39</f>
        <v>Příklad1</v>
      </c>
      <c r="E55" s="199" t="str">
        <f t="shared" ref="E55:K55" si="15">E39</f>
        <v>Příklad 2</v>
      </c>
      <c r="F55" s="199">
        <f t="shared" si="15"/>
        <v>3</v>
      </c>
      <c r="G55" s="199">
        <f t="shared" si="15"/>
        <v>4</v>
      </c>
      <c r="H55" s="199">
        <f t="shared" si="15"/>
        <v>5</v>
      </c>
      <c r="I55" s="199">
        <f t="shared" si="15"/>
        <v>6</v>
      </c>
      <c r="J55" s="316">
        <f t="shared" si="15"/>
        <v>7</v>
      </c>
      <c r="K55" s="199">
        <f t="shared" si="15"/>
        <v>8</v>
      </c>
    </row>
    <row r="56" spans="1:12" x14ac:dyDescent="0.2">
      <c r="C56" s="301" t="str">
        <f>C7</f>
        <v>BDE 28</v>
      </c>
      <c r="D56" s="304">
        <f t="shared" ref="D56:K56" si="16">(D7-AVERAGE($L7:$M7)*(1-D24))/(10^$A7*D$3/1000*D24)</f>
        <v>1.6065373194853447E-2</v>
      </c>
      <c r="E56" s="304">
        <f t="shared" si="16"/>
        <v>1.3287086472519638</v>
      </c>
      <c r="F56" s="236">
        <f t="shared" si="16"/>
        <v>2.740459207371428</v>
      </c>
      <c r="G56" s="237">
        <f t="shared" si="16"/>
        <v>0.43564313521244724</v>
      </c>
      <c r="H56" s="236">
        <f t="shared" si="16"/>
        <v>1.7838370603745533</v>
      </c>
      <c r="I56" s="236">
        <f t="shared" si="16"/>
        <v>1.4717420913992978</v>
      </c>
      <c r="J56" s="317">
        <f t="shared" si="16"/>
        <v>1.1904112906045803</v>
      </c>
      <c r="K56" s="236">
        <f t="shared" si="16"/>
        <v>2.6620010836174139</v>
      </c>
    </row>
    <row r="57" spans="1:12" x14ac:dyDescent="0.2">
      <c r="A57" s="234"/>
      <c r="C57" s="302" t="str">
        <f t="shared" ref="C57:C68" si="17">C8</f>
        <v>BDE 47</v>
      </c>
      <c r="D57" s="304">
        <f t="shared" ref="D57:K68" si="18">(D8-AVERAGE($L8:$M8)*(1-D25))/(10^$A8*D$3/1000*D25)</f>
        <v>9.4055122284664089E-2</v>
      </c>
      <c r="E57" s="304">
        <f t="shared" si="18"/>
        <v>25.458915487385813</v>
      </c>
      <c r="F57" s="236">
        <f t="shared" si="18"/>
        <v>0.12728488182046277</v>
      </c>
      <c r="G57" s="237">
        <f t="shared" si="18"/>
        <v>4.68630874844178E-3</v>
      </c>
      <c r="H57" s="236">
        <f t="shared" si="18"/>
        <v>2.5828379041799004E-2</v>
      </c>
      <c r="I57" s="236">
        <f t="shared" si="18"/>
        <v>3.3908207573175447E-2</v>
      </c>
      <c r="J57" s="317">
        <f t="shared" si="18"/>
        <v>5.7159620167708093E-3</v>
      </c>
      <c r="K57" s="236">
        <f t="shared" si="18"/>
        <v>-6.688500457862988E-3</v>
      </c>
    </row>
    <row r="58" spans="1:12" x14ac:dyDescent="0.2">
      <c r="C58" s="302" t="str">
        <f t="shared" si="17"/>
        <v>BDE 100</v>
      </c>
      <c r="D58" s="304">
        <f t="shared" si="18"/>
        <v>7.62350443885099E-3</v>
      </c>
      <c r="E58" s="304">
        <f t="shared" si="18"/>
        <v>3.2085241845592849</v>
      </c>
      <c r="F58" s="236">
        <f t="shared" si="18"/>
        <v>0.62748403639425954</v>
      </c>
      <c r="G58" s="237">
        <f t="shared" si="18"/>
        <v>6.6906710212824932E-2</v>
      </c>
      <c r="H58" s="236">
        <f t="shared" si="18"/>
        <v>0.24899855250283875</v>
      </c>
      <c r="I58" s="236">
        <f t="shared" si="18"/>
        <v>0.3115049667317753</v>
      </c>
      <c r="J58" s="317">
        <f t="shared" si="18"/>
        <v>0.17044819989006577</v>
      </c>
      <c r="K58" s="236">
        <f t="shared" si="18"/>
        <v>0.13416553846017717</v>
      </c>
    </row>
    <row r="59" spans="1:12" x14ac:dyDescent="0.2">
      <c r="C59" s="302" t="str">
        <f t="shared" si="17"/>
        <v>BDE 99</v>
      </c>
      <c r="D59" s="304">
        <f t="shared" si="18"/>
        <v>1.8037171797886956E-2</v>
      </c>
      <c r="E59" s="304">
        <f t="shared" si="18"/>
        <v>17.200968921038665</v>
      </c>
      <c r="F59" s="236">
        <f t="shared" si="18"/>
        <v>6.1015002631296687E-2</v>
      </c>
      <c r="G59" s="237">
        <f t="shared" si="18"/>
        <v>2.1360720945347829E-3</v>
      </c>
      <c r="H59" s="236">
        <f t="shared" si="18"/>
        <v>1.3225703855265758E-2</v>
      </c>
      <c r="I59" s="236">
        <f t="shared" si="18"/>
        <v>2.0878755350890954E-2</v>
      </c>
      <c r="J59" s="317">
        <f t="shared" si="18"/>
        <v>4.0151913783708039E-3</v>
      </c>
      <c r="K59" s="236">
        <f t="shared" si="18"/>
        <v>-6.686798180104413E-3</v>
      </c>
    </row>
    <row r="60" spans="1:12" x14ac:dyDescent="0.2">
      <c r="C60" s="302" t="str">
        <f t="shared" si="17"/>
        <v>BDE 154</v>
      </c>
      <c r="D60" s="304">
        <f t="shared" si="18"/>
        <v>5.8771925415330223E-3</v>
      </c>
      <c r="E60" s="304">
        <f t="shared" si="18"/>
        <v>0.69475997894685015</v>
      </c>
      <c r="F60" s="236">
        <f t="shared" si="18"/>
        <v>3.2158367403333207E-2</v>
      </c>
      <c r="G60" s="237">
        <f t="shared" si="18"/>
        <v>5.9458453052431345E-3</v>
      </c>
      <c r="H60" s="236">
        <f t="shared" si="18"/>
        <v>1.8291511012093437E-2</v>
      </c>
      <c r="I60" s="236">
        <f t="shared" si="18"/>
        <v>2.0124095355439214E-2</v>
      </c>
      <c r="J60" s="317">
        <f t="shared" si="18"/>
        <v>1.4258850178420239E-2</v>
      </c>
      <c r="K60" s="236">
        <f t="shared" si="18"/>
        <v>9.4409149021484548E-3</v>
      </c>
    </row>
    <row r="61" spans="1:12" x14ac:dyDescent="0.2">
      <c r="A61" s="235"/>
      <c r="C61" s="302" t="str">
        <f t="shared" si="17"/>
        <v>BDE 153</v>
      </c>
      <c r="D61" s="304">
        <f t="shared" si="18"/>
        <v>8.712346712840736E-4</v>
      </c>
      <c r="E61" s="304">
        <f t="shared" si="18"/>
        <v>0.92168394011100496</v>
      </c>
      <c r="F61" s="236">
        <f t="shared" si="18"/>
        <v>3.0390677806864864E-2</v>
      </c>
      <c r="G61" s="237">
        <f t="shared" si="18"/>
        <v>5.8343084014213778E-3</v>
      </c>
      <c r="H61" s="236">
        <f t="shared" si="18"/>
        <v>2.6247074891444067E-2</v>
      </c>
      <c r="I61" s="236">
        <f t="shared" si="18"/>
        <v>1.0580958756148569E-2</v>
      </c>
      <c r="J61" s="317">
        <f t="shared" si="18"/>
        <v>1.1421062121890448E-2</v>
      </c>
      <c r="K61" s="236">
        <f t="shared" si="18"/>
        <v>9.0424800727016696E-3</v>
      </c>
    </row>
    <row r="62" spans="1:12" x14ac:dyDescent="0.2">
      <c r="C62" s="302" t="str">
        <f t="shared" si="17"/>
        <v>aHBCD</v>
      </c>
      <c r="D62" s="304">
        <f t="shared" si="18"/>
        <v>4.0121144630409526</v>
      </c>
      <c r="E62" s="304">
        <f t="shared" si="18"/>
        <v>228.07455372783787</v>
      </c>
      <c r="F62" s="236">
        <f t="shared" si="18"/>
        <v>0.12651358556118533</v>
      </c>
      <c r="G62" s="237">
        <f t="shared" si="18"/>
        <v>1.6792299018674531E-2</v>
      </c>
      <c r="H62" s="236">
        <f t="shared" si="18"/>
        <v>4.7404209545384247E-2</v>
      </c>
      <c r="I62" s="236">
        <f t="shared" si="18"/>
        <v>2.8176819478493192E-2</v>
      </c>
      <c r="J62" s="317">
        <f t="shared" si="18"/>
        <v>1.9068608770410396E-2</v>
      </c>
      <c r="K62" s="236">
        <f t="shared" si="18"/>
        <v>1.5617137189375159E-2</v>
      </c>
    </row>
    <row r="63" spans="1:12" x14ac:dyDescent="0.2">
      <c r="C63" s="302" t="str">
        <f t="shared" si="17"/>
        <v>bHBCD</v>
      </c>
      <c r="D63" s="304">
        <f t="shared" si="18"/>
        <v>9.2195950699550916E-2</v>
      </c>
      <c r="E63" s="304">
        <f t="shared" si="18"/>
        <v>21.191819152822056</v>
      </c>
      <c r="F63" s="236">
        <f t="shared" si="18"/>
        <v>0.27297427837319066</v>
      </c>
      <c r="G63" s="237">
        <f t="shared" si="18"/>
        <v>1.5468443275188757E-2</v>
      </c>
      <c r="H63" s="236">
        <f t="shared" si="18"/>
        <v>0.10217865680949059</v>
      </c>
      <c r="I63" s="236">
        <f t="shared" si="18"/>
        <v>6.7754581380127493E-2</v>
      </c>
      <c r="J63" s="317">
        <f t="shared" si="18"/>
        <v>2.5401204610072906E-2</v>
      </c>
      <c r="K63" s="236">
        <f t="shared" si="18"/>
        <v>1.3906649354808719E-2</v>
      </c>
    </row>
    <row r="64" spans="1:12" x14ac:dyDescent="0.2">
      <c r="C64" s="302" t="str">
        <f t="shared" si="17"/>
        <v>gHBCD</v>
      </c>
      <c r="D64" s="304">
        <f t="shared" si="18"/>
        <v>0</v>
      </c>
      <c r="E64" s="304">
        <f t="shared" si="18"/>
        <v>35.650856559506188</v>
      </c>
      <c r="F64" s="236">
        <f t="shared" si="18"/>
        <v>0.2189908396837271</v>
      </c>
      <c r="G64" s="237">
        <f t="shared" si="18"/>
        <v>1.5749204566082094E-2</v>
      </c>
      <c r="H64" s="236">
        <f t="shared" si="18"/>
        <v>5.336959828774774E-2</v>
      </c>
      <c r="I64" s="236">
        <f t="shared" si="18"/>
        <v>5.2709122361417109E-2</v>
      </c>
      <c r="J64" s="317">
        <f t="shared" si="18"/>
        <v>2.1475446453594151E-2</v>
      </c>
      <c r="K64" s="236">
        <f t="shared" si="18"/>
        <v>1.3917763069257764E-2</v>
      </c>
    </row>
    <row r="65" spans="1:12" x14ac:dyDescent="0.2">
      <c r="A65" s="234"/>
      <c r="C65" s="302">
        <f t="shared" si="17"/>
        <v>0</v>
      </c>
      <c r="D65" s="304" t="e">
        <f t="shared" si="18"/>
        <v>#N/A</v>
      </c>
      <c r="E65" s="304" t="e">
        <f t="shared" si="18"/>
        <v>#N/A</v>
      </c>
      <c r="F65" s="236" t="e">
        <f t="shared" si="18"/>
        <v>#N/A</v>
      </c>
      <c r="G65" s="237" t="e">
        <f t="shared" si="18"/>
        <v>#N/A</v>
      </c>
      <c r="H65" s="236" t="e">
        <f t="shared" si="18"/>
        <v>#N/A</v>
      </c>
      <c r="I65" s="236" t="e">
        <f t="shared" si="18"/>
        <v>#N/A</v>
      </c>
      <c r="J65" s="317" t="e">
        <f t="shared" si="18"/>
        <v>#N/A</v>
      </c>
      <c r="K65" s="236" t="e">
        <f t="shared" si="18"/>
        <v>#N/A</v>
      </c>
    </row>
    <row r="66" spans="1:12" x14ac:dyDescent="0.2">
      <c r="A66" s="234"/>
      <c r="C66" s="302">
        <f t="shared" si="17"/>
        <v>0</v>
      </c>
      <c r="D66" s="304" t="e">
        <f t="shared" si="18"/>
        <v>#N/A</v>
      </c>
      <c r="E66" s="304" t="e">
        <f t="shared" si="18"/>
        <v>#N/A</v>
      </c>
      <c r="F66" s="236" t="e">
        <f t="shared" si="18"/>
        <v>#N/A</v>
      </c>
      <c r="G66" s="237" t="e">
        <f t="shared" si="18"/>
        <v>#N/A</v>
      </c>
      <c r="H66" s="236" t="e">
        <f t="shared" si="18"/>
        <v>#N/A</v>
      </c>
      <c r="I66" s="236" t="e">
        <f t="shared" si="18"/>
        <v>#N/A</v>
      </c>
      <c r="J66" s="317" t="e">
        <f t="shared" si="18"/>
        <v>#N/A</v>
      </c>
      <c r="K66" s="236" t="e">
        <f t="shared" si="18"/>
        <v>#N/A</v>
      </c>
    </row>
    <row r="67" spans="1:12" x14ac:dyDescent="0.2">
      <c r="A67" s="235"/>
      <c r="C67" s="302">
        <f t="shared" si="17"/>
        <v>0</v>
      </c>
      <c r="D67" s="304" t="e">
        <f t="shared" si="18"/>
        <v>#N/A</v>
      </c>
      <c r="E67" s="304" t="e">
        <f t="shared" si="18"/>
        <v>#N/A</v>
      </c>
      <c r="F67" s="236" t="e">
        <f t="shared" si="18"/>
        <v>#N/A</v>
      </c>
      <c r="G67" s="237" t="e">
        <f t="shared" si="18"/>
        <v>#N/A</v>
      </c>
      <c r="H67" s="236" t="e">
        <f t="shared" si="18"/>
        <v>#N/A</v>
      </c>
      <c r="I67" s="236" t="e">
        <f t="shared" si="18"/>
        <v>#N/A</v>
      </c>
      <c r="J67" s="317" t="e">
        <f t="shared" si="18"/>
        <v>#N/A</v>
      </c>
      <c r="K67" s="236" t="e">
        <f t="shared" si="18"/>
        <v>#N/A</v>
      </c>
    </row>
    <row r="68" spans="1:12" ht="13.5" thickBot="1" x14ac:dyDescent="0.25">
      <c r="C68" s="303">
        <f t="shared" si="17"/>
        <v>0</v>
      </c>
      <c r="D68" s="304" t="e">
        <f t="shared" si="18"/>
        <v>#N/A</v>
      </c>
      <c r="E68" s="304" t="e">
        <f t="shared" si="18"/>
        <v>#N/A</v>
      </c>
      <c r="F68" s="236" t="e">
        <f t="shared" si="18"/>
        <v>#N/A</v>
      </c>
      <c r="G68" s="237" t="e">
        <f t="shared" si="18"/>
        <v>#N/A</v>
      </c>
      <c r="H68" s="236" t="e">
        <f t="shared" si="18"/>
        <v>#N/A</v>
      </c>
      <c r="I68" s="236" t="e">
        <f t="shared" si="18"/>
        <v>#N/A</v>
      </c>
      <c r="J68" s="317" t="e">
        <f t="shared" si="18"/>
        <v>#N/A</v>
      </c>
      <c r="K68" s="236" t="e">
        <f t="shared" si="18"/>
        <v>#N/A</v>
      </c>
    </row>
    <row r="69" spans="1:12" s="201" customFormat="1" ht="16.5" thickBot="1" x14ac:dyDescent="0.3">
      <c r="A69" s="201" t="s">
        <v>285</v>
      </c>
      <c r="E69" s="202" t="s">
        <v>286</v>
      </c>
      <c r="J69" s="318"/>
      <c r="L69" s="203"/>
    </row>
    <row r="70" spans="1:12" ht="17.25" thickBot="1" x14ac:dyDescent="0.35">
      <c r="C70" s="195" t="s">
        <v>291</v>
      </c>
      <c r="D70" s="195"/>
      <c r="E70" s="204" t="s">
        <v>287</v>
      </c>
      <c r="F70" s="205">
        <v>1.7</v>
      </c>
      <c r="G70" s="195" t="s">
        <v>288</v>
      </c>
      <c r="H70" s="195"/>
    </row>
    <row r="71" spans="1:12" ht="13.5" thickBot="1" x14ac:dyDescent="0.25">
      <c r="C71" s="175" t="str">
        <f>C2</f>
        <v>Sample ID</v>
      </c>
      <c r="D71" s="206" t="str">
        <f t="shared" ref="D71:K71" si="19">D2</f>
        <v>Příklad1</v>
      </c>
      <c r="E71" s="207" t="str">
        <f t="shared" si="19"/>
        <v>Příklad 2</v>
      </c>
      <c r="F71" s="207">
        <f t="shared" si="19"/>
        <v>3</v>
      </c>
      <c r="G71" s="207">
        <f t="shared" si="19"/>
        <v>4</v>
      </c>
      <c r="H71" s="207">
        <f t="shared" si="19"/>
        <v>5</v>
      </c>
      <c r="I71" s="207">
        <f t="shared" si="19"/>
        <v>6</v>
      </c>
      <c r="J71" s="319">
        <f t="shared" si="19"/>
        <v>7</v>
      </c>
      <c r="K71" s="207">
        <f t="shared" si="19"/>
        <v>8</v>
      </c>
    </row>
    <row r="72" spans="1:12" x14ac:dyDescent="0.2">
      <c r="C72" s="300" t="str">
        <f>C40</f>
        <v>BDE 28</v>
      </c>
      <c r="D72" s="281">
        <f t="shared" ref="D72:K84" si="20">ROUND(D56,ROUND(-LOG(D56)-0.3+$F$70,0))</f>
        <v>1.6E-2</v>
      </c>
      <c r="E72" s="281">
        <f t="shared" si="20"/>
        <v>1.3</v>
      </c>
      <c r="F72" s="208">
        <f t="shared" si="20"/>
        <v>2.7</v>
      </c>
      <c r="G72" s="208">
        <f t="shared" si="20"/>
        <v>0.44</v>
      </c>
      <c r="H72" s="208">
        <f t="shared" si="20"/>
        <v>1.8</v>
      </c>
      <c r="I72" s="208">
        <f t="shared" si="20"/>
        <v>1.5</v>
      </c>
      <c r="J72" s="320">
        <f t="shared" si="20"/>
        <v>1.2</v>
      </c>
      <c r="K72" s="208">
        <f t="shared" si="20"/>
        <v>2.7</v>
      </c>
    </row>
    <row r="73" spans="1:12" x14ac:dyDescent="0.2">
      <c r="C73" s="298" t="str">
        <f t="shared" ref="C73:C84" si="21">C41</f>
        <v>BDE 47</v>
      </c>
      <c r="D73" s="281">
        <f t="shared" si="20"/>
        <v>0.09</v>
      </c>
      <c r="E73" s="281">
        <f t="shared" si="20"/>
        <v>25</v>
      </c>
      <c r="F73" s="208">
        <f t="shared" si="20"/>
        <v>0.13</v>
      </c>
      <c r="G73" s="208">
        <f t="shared" si="20"/>
        <v>4.7000000000000002E-3</v>
      </c>
      <c r="H73" s="208">
        <f t="shared" si="20"/>
        <v>2.5999999999999999E-2</v>
      </c>
      <c r="I73" s="208">
        <f t="shared" si="20"/>
        <v>3.4000000000000002E-2</v>
      </c>
      <c r="J73" s="320">
        <f t="shared" si="20"/>
        <v>5.7000000000000002E-3</v>
      </c>
      <c r="K73" s="208" t="e">
        <f t="shared" si="20"/>
        <v>#NUM!</v>
      </c>
    </row>
    <row r="74" spans="1:12" x14ac:dyDescent="0.2">
      <c r="C74" s="298" t="str">
        <f t="shared" si="21"/>
        <v>BDE 100</v>
      </c>
      <c r="D74" s="281">
        <f t="shared" si="20"/>
        <v>7.6E-3</v>
      </c>
      <c r="E74" s="281">
        <f t="shared" si="20"/>
        <v>3.2</v>
      </c>
      <c r="F74" s="208">
        <f t="shared" si="20"/>
        <v>0.63</v>
      </c>
      <c r="G74" s="208">
        <f t="shared" si="20"/>
        <v>6.7000000000000004E-2</v>
      </c>
      <c r="H74" s="208">
        <f t="shared" si="20"/>
        <v>0.25</v>
      </c>
      <c r="I74" s="208">
        <f t="shared" si="20"/>
        <v>0.31</v>
      </c>
      <c r="J74" s="320">
        <f t="shared" si="20"/>
        <v>0.17</v>
      </c>
      <c r="K74" s="208">
        <f t="shared" si="20"/>
        <v>0.13</v>
      </c>
    </row>
    <row r="75" spans="1:12" x14ac:dyDescent="0.2">
      <c r="C75" s="298" t="str">
        <f t="shared" si="21"/>
        <v>BDE 99</v>
      </c>
      <c r="D75" s="281">
        <f t="shared" si="20"/>
        <v>1.7999999999999999E-2</v>
      </c>
      <c r="E75" s="281">
        <f t="shared" si="20"/>
        <v>17</v>
      </c>
      <c r="F75" s="208">
        <f t="shared" si="20"/>
        <v>6.0999999999999999E-2</v>
      </c>
      <c r="G75" s="208">
        <f t="shared" si="20"/>
        <v>2.0999999999999999E-3</v>
      </c>
      <c r="H75" s="208">
        <f t="shared" si="20"/>
        <v>1.2999999999999999E-2</v>
      </c>
      <c r="I75" s="208">
        <f t="shared" si="20"/>
        <v>2.1000000000000001E-2</v>
      </c>
      <c r="J75" s="320">
        <f t="shared" si="20"/>
        <v>4.0000000000000001E-3</v>
      </c>
      <c r="K75" s="208" t="e">
        <f t="shared" si="20"/>
        <v>#NUM!</v>
      </c>
    </row>
    <row r="76" spans="1:12" x14ac:dyDescent="0.2">
      <c r="C76" s="298" t="str">
        <f t="shared" si="21"/>
        <v>BDE 154</v>
      </c>
      <c r="D76" s="281">
        <f t="shared" si="20"/>
        <v>5.8999999999999999E-3</v>
      </c>
      <c r="E76" s="281">
        <f t="shared" si="20"/>
        <v>0.69</v>
      </c>
      <c r="F76" s="208">
        <f t="shared" si="20"/>
        <v>3.2000000000000001E-2</v>
      </c>
      <c r="G76" s="208">
        <f t="shared" si="20"/>
        <v>5.8999999999999999E-3</v>
      </c>
      <c r="H76" s="208">
        <f t="shared" si="20"/>
        <v>1.7999999999999999E-2</v>
      </c>
      <c r="I76" s="208">
        <f t="shared" si="20"/>
        <v>0.02</v>
      </c>
      <c r="J76" s="320">
        <f t="shared" si="20"/>
        <v>1.4E-2</v>
      </c>
      <c r="K76" s="208">
        <f t="shared" si="20"/>
        <v>8.9999999999999993E-3</v>
      </c>
    </row>
    <row r="77" spans="1:12" x14ac:dyDescent="0.2">
      <c r="C77" s="298" t="str">
        <f t="shared" si="21"/>
        <v>BDE 153</v>
      </c>
      <c r="D77" s="281">
        <f t="shared" si="20"/>
        <v>8.9999999999999998E-4</v>
      </c>
      <c r="E77" s="281">
        <f t="shared" si="20"/>
        <v>0.9</v>
      </c>
      <c r="F77" s="208">
        <f t="shared" si="20"/>
        <v>0.03</v>
      </c>
      <c r="G77" s="208">
        <f t="shared" si="20"/>
        <v>5.7999999999999996E-3</v>
      </c>
      <c r="H77" s="208">
        <f t="shared" si="20"/>
        <v>2.5999999999999999E-2</v>
      </c>
      <c r="I77" s="208">
        <f t="shared" si="20"/>
        <v>1.0999999999999999E-2</v>
      </c>
      <c r="J77" s="320">
        <f t="shared" si="20"/>
        <v>1.0999999999999999E-2</v>
      </c>
      <c r="K77" s="208">
        <f t="shared" si="20"/>
        <v>8.9999999999999993E-3</v>
      </c>
    </row>
    <row r="78" spans="1:12" x14ac:dyDescent="0.2">
      <c r="C78" s="298" t="str">
        <f t="shared" si="21"/>
        <v>aHBCD</v>
      </c>
      <c r="D78" s="281">
        <f t="shared" si="20"/>
        <v>4</v>
      </c>
      <c r="E78" s="281">
        <f t="shared" si="20"/>
        <v>230</v>
      </c>
      <c r="F78" s="208">
        <f t="shared" si="20"/>
        <v>0.13</v>
      </c>
      <c r="G78" s="208">
        <f t="shared" si="20"/>
        <v>1.7000000000000001E-2</v>
      </c>
      <c r="H78" s="208">
        <f t="shared" si="20"/>
        <v>4.7E-2</v>
      </c>
      <c r="I78" s="208">
        <f t="shared" si="20"/>
        <v>2.8000000000000001E-2</v>
      </c>
      <c r="J78" s="320">
        <f t="shared" si="20"/>
        <v>1.9E-2</v>
      </c>
      <c r="K78" s="208">
        <f t="shared" si="20"/>
        <v>1.6E-2</v>
      </c>
    </row>
    <row r="79" spans="1:12" x14ac:dyDescent="0.2">
      <c r="C79" s="298" t="str">
        <f t="shared" si="21"/>
        <v>bHBCD</v>
      </c>
      <c r="D79" s="281">
        <f t="shared" si="20"/>
        <v>0.09</v>
      </c>
      <c r="E79" s="281">
        <f t="shared" si="20"/>
        <v>21</v>
      </c>
      <c r="F79" s="208">
        <f t="shared" si="20"/>
        <v>0.27</v>
      </c>
      <c r="G79" s="208">
        <f t="shared" si="20"/>
        <v>1.4999999999999999E-2</v>
      </c>
      <c r="H79" s="208">
        <f t="shared" si="20"/>
        <v>0.1</v>
      </c>
      <c r="I79" s="208">
        <f t="shared" si="20"/>
        <v>6.8000000000000005E-2</v>
      </c>
      <c r="J79" s="320">
        <f t="shared" si="20"/>
        <v>2.5000000000000001E-2</v>
      </c>
      <c r="K79" s="208">
        <f t="shared" si="20"/>
        <v>1.4E-2</v>
      </c>
    </row>
    <row r="80" spans="1:12" x14ac:dyDescent="0.2">
      <c r="C80" s="298" t="str">
        <f t="shared" si="21"/>
        <v>gHBCD</v>
      </c>
      <c r="D80" s="281" t="e">
        <f t="shared" si="20"/>
        <v>#NUM!</v>
      </c>
      <c r="E80" s="281">
        <f t="shared" si="20"/>
        <v>36</v>
      </c>
      <c r="F80" s="208">
        <f t="shared" si="20"/>
        <v>0.22</v>
      </c>
      <c r="G80" s="208">
        <f t="shared" si="20"/>
        <v>1.6E-2</v>
      </c>
      <c r="H80" s="208">
        <f t="shared" si="20"/>
        <v>5.2999999999999999E-2</v>
      </c>
      <c r="I80" s="208">
        <f t="shared" si="20"/>
        <v>5.2999999999999999E-2</v>
      </c>
      <c r="J80" s="320">
        <f t="shared" si="20"/>
        <v>2.1000000000000001E-2</v>
      </c>
      <c r="K80" s="208">
        <f t="shared" si="20"/>
        <v>1.4E-2</v>
      </c>
    </row>
    <row r="81" spans="3:11" x14ac:dyDescent="0.2">
      <c r="C81" s="298">
        <f t="shared" si="21"/>
        <v>0</v>
      </c>
      <c r="D81" s="281" t="e">
        <f t="shared" si="20"/>
        <v>#N/A</v>
      </c>
      <c r="E81" s="281" t="e">
        <f t="shared" si="20"/>
        <v>#N/A</v>
      </c>
      <c r="F81" s="208" t="e">
        <f t="shared" si="20"/>
        <v>#N/A</v>
      </c>
      <c r="G81" s="208" t="e">
        <f t="shared" si="20"/>
        <v>#N/A</v>
      </c>
      <c r="H81" s="208" t="e">
        <f t="shared" si="20"/>
        <v>#N/A</v>
      </c>
      <c r="I81" s="208" t="e">
        <f t="shared" si="20"/>
        <v>#N/A</v>
      </c>
      <c r="J81" s="320" t="e">
        <f t="shared" si="20"/>
        <v>#N/A</v>
      </c>
      <c r="K81" s="208" t="e">
        <f t="shared" si="20"/>
        <v>#N/A</v>
      </c>
    </row>
    <row r="82" spans="3:11" x14ac:dyDescent="0.2">
      <c r="C82" s="298">
        <f t="shared" si="21"/>
        <v>0</v>
      </c>
      <c r="D82" s="281" t="e">
        <f t="shared" si="20"/>
        <v>#N/A</v>
      </c>
      <c r="E82" s="281" t="e">
        <f t="shared" si="20"/>
        <v>#N/A</v>
      </c>
      <c r="F82" s="208" t="e">
        <f t="shared" si="20"/>
        <v>#N/A</v>
      </c>
      <c r="G82" s="208" t="e">
        <f t="shared" si="20"/>
        <v>#N/A</v>
      </c>
      <c r="H82" s="208" t="e">
        <f t="shared" si="20"/>
        <v>#N/A</v>
      </c>
      <c r="I82" s="208" t="e">
        <f t="shared" si="20"/>
        <v>#N/A</v>
      </c>
      <c r="J82" s="320" t="e">
        <f t="shared" si="20"/>
        <v>#N/A</v>
      </c>
      <c r="K82" s="208" t="e">
        <f t="shared" si="20"/>
        <v>#N/A</v>
      </c>
    </row>
    <row r="83" spans="3:11" x14ac:dyDescent="0.2">
      <c r="C83" s="298">
        <f t="shared" si="21"/>
        <v>0</v>
      </c>
      <c r="D83" s="281" t="e">
        <f t="shared" si="20"/>
        <v>#N/A</v>
      </c>
      <c r="E83" s="281" t="e">
        <f t="shared" si="20"/>
        <v>#N/A</v>
      </c>
      <c r="F83" s="208" t="e">
        <f t="shared" si="20"/>
        <v>#N/A</v>
      </c>
      <c r="G83" s="208" t="e">
        <f t="shared" si="20"/>
        <v>#N/A</v>
      </c>
      <c r="H83" s="208" t="e">
        <f t="shared" si="20"/>
        <v>#N/A</v>
      </c>
      <c r="I83" s="208" t="e">
        <f t="shared" si="20"/>
        <v>#N/A</v>
      </c>
      <c r="J83" s="320" t="e">
        <f t="shared" si="20"/>
        <v>#N/A</v>
      </c>
      <c r="K83" s="208" t="e">
        <f t="shared" si="20"/>
        <v>#N/A</v>
      </c>
    </row>
    <row r="84" spans="3:11" ht="13.5" thickBot="1" x14ac:dyDescent="0.25">
      <c r="C84" s="299">
        <f t="shared" si="21"/>
        <v>0</v>
      </c>
      <c r="D84" s="281" t="e">
        <f t="shared" si="20"/>
        <v>#N/A</v>
      </c>
      <c r="E84" s="281" t="e">
        <f t="shared" si="20"/>
        <v>#N/A</v>
      </c>
      <c r="F84" s="208" t="e">
        <f t="shared" si="20"/>
        <v>#N/A</v>
      </c>
      <c r="G84" s="208" t="e">
        <f t="shared" si="20"/>
        <v>#N/A</v>
      </c>
      <c r="H84" s="208" t="e">
        <f t="shared" si="20"/>
        <v>#N/A</v>
      </c>
      <c r="I84" s="208" t="e">
        <f t="shared" si="20"/>
        <v>#N/A</v>
      </c>
      <c r="J84" s="320" t="e">
        <f t="shared" si="20"/>
        <v>#N/A</v>
      </c>
      <c r="K84" s="208" t="e">
        <f>ROUND(K68,ROUND(-LOG(K68)-0.3+$F$70,0))</f>
        <v>#N/A</v>
      </c>
    </row>
  </sheetData>
  <dataValidations xWindow="42" yWindow="673" count="1">
    <dataValidation type="list" allowBlank="1" showInputMessage="1" showErrorMessage="1" prompt="Select the number of significant digits_x000a_" sqref="F70">
      <formula1>"1.1,1.4,1.7,2,2.3,2.6,3,4"</formula1>
    </dataValidation>
  </dataValidations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253953" r:id="rId4">
          <objectPr defaultSize="0" autoPict="0" r:id="rId5">
            <anchor moveWithCells="1">
              <from>
                <xdr:col>4</xdr:col>
                <xdr:colOff>180975</xdr:colOff>
                <xdr:row>26</xdr:row>
                <xdr:rowOff>152400</xdr:rowOff>
              </from>
              <to>
                <xdr:col>9</xdr:col>
                <xdr:colOff>209550</xdr:colOff>
                <xdr:row>32</xdr:row>
                <xdr:rowOff>95250</xdr:rowOff>
              </to>
            </anchor>
          </objectPr>
        </oleObject>
      </mc:Choice>
      <mc:Fallback>
        <oleObject progId="Equation.3" shapeId="253953" r:id="rId4"/>
      </mc:Fallback>
    </mc:AlternateContent>
    <mc:AlternateContent xmlns:mc="http://schemas.openxmlformats.org/markup-compatibility/2006">
      <mc:Choice Requires="x14">
        <oleObject progId="Equation.3" shapeId="253954" r:id="rId6">
          <objectPr defaultSize="0" autoPict="0" r:id="rId7">
            <anchor moveWithCells="1">
              <from>
                <xdr:col>5</xdr:col>
                <xdr:colOff>85725</xdr:colOff>
                <xdr:row>41</xdr:row>
                <xdr:rowOff>152400</xdr:rowOff>
              </from>
              <to>
                <xdr:col>8</xdr:col>
                <xdr:colOff>561975</xdr:colOff>
                <xdr:row>47</xdr:row>
                <xdr:rowOff>95250</xdr:rowOff>
              </to>
            </anchor>
          </objectPr>
        </oleObject>
      </mc:Choice>
      <mc:Fallback>
        <oleObject progId="Equation.3" shapeId="253954" r:id="rId6"/>
      </mc:Fallback>
    </mc:AlternateContent>
    <mc:AlternateContent xmlns:mc="http://schemas.openxmlformats.org/markup-compatibility/2006">
      <mc:Choice Requires="x14">
        <oleObject progId="Equation.3" shapeId="253955" r:id="rId8">
          <objectPr defaultSize="0" autoPict="0" r:id="rId9">
            <anchor moveWithCells="1">
              <from>
                <xdr:col>4</xdr:col>
                <xdr:colOff>504825</xdr:colOff>
                <xdr:row>59</xdr:row>
                <xdr:rowOff>28575</xdr:rowOff>
              </from>
              <to>
                <xdr:col>8</xdr:col>
                <xdr:colOff>76200</xdr:colOff>
                <xdr:row>64</xdr:row>
                <xdr:rowOff>171450</xdr:rowOff>
              </to>
            </anchor>
          </objectPr>
        </oleObject>
      </mc:Choice>
      <mc:Fallback>
        <oleObject progId="Equation.3" shapeId="253955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370"/>
  <sheetViews>
    <sheetView topLeftCell="A89" zoomScale="75" workbookViewId="0">
      <selection activeCell="D117" sqref="D117"/>
    </sheetView>
  </sheetViews>
  <sheetFormatPr defaultRowHeight="12.75" x14ac:dyDescent="0.2"/>
  <cols>
    <col min="1" max="1" width="45.42578125" customWidth="1"/>
    <col min="2" max="2" width="12.5703125" customWidth="1"/>
    <col min="3" max="3" width="13.7109375" customWidth="1"/>
    <col min="4" max="4" width="9.7109375" style="1" customWidth="1"/>
    <col min="5" max="5" width="11.85546875" style="1" customWidth="1"/>
    <col min="6" max="6" width="17.7109375" style="1" customWidth="1"/>
  </cols>
  <sheetData>
    <row r="1" spans="1:8" ht="15" x14ac:dyDescent="0.2">
      <c r="B1" s="124" t="s">
        <v>141</v>
      </c>
    </row>
    <row r="3" spans="1:8" ht="15" x14ac:dyDescent="0.2">
      <c r="D3" s="124" t="s">
        <v>141</v>
      </c>
    </row>
    <row r="4" spans="1:8" s="123" customFormat="1" x14ac:dyDescent="0.2">
      <c r="A4" s="123" t="s">
        <v>139</v>
      </c>
      <c r="B4" s="209" t="s">
        <v>143</v>
      </c>
      <c r="C4" s="210" t="s">
        <v>36</v>
      </c>
      <c r="D4" s="122" t="s">
        <v>138</v>
      </c>
      <c r="E4" s="122" t="s">
        <v>37</v>
      </c>
      <c r="F4" s="122" t="s">
        <v>140</v>
      </c>
    </row>
    <row r="5" spans="1:8" ht="14.25" x14ac:dyDescent="0.2">
      <c r="A5" s="224" t="s">
        <v>144</v>
      </c>
      <c r="B5" s="216" t="s">
        <v>38</v>
      </c>
      <c r="C5" s="217">
        <v>4.05</v>
      </c>
      <c r="D5" s="218">
        <v>3.6289126722102099</v>
      </c>
      <c r="E5" s="218">
        <v>0.03</v>
      </c>
      <c r="F5" s="219">
        <v>164</v>
      </c>
      <c r="G5" s="112"/>
      <c r="H5" s="86"/>
    </row>
    <row r="6" spans="1:8" ht="14.25" x14ac:dyDescent="0.2">
      <c r="A6" s="224" t="s">
        <v>145</v>
      </c>
      <c r="B6" s="217" t="s">
        <v>20</v>
      </c>
      <c r="C6" s="220">
        <v>4.46</v>
      </c>
      <c r="D6" s="218">
        <v>4.22</v>
      </c>
      <c r="E6" s="218">
        <v>0.03</v>
      </c>
      <c r="F6" s="219">
        <v>188.5</v>
      </c>
      <c r="G6" s="112"/>
      <c r="H6" s="87"/>
    </row>
    <row r="7" spans="1:8" ht="14.25" x14ac:dyDescent="0.2">
      <c r="A7" s="224" t="s">
        <v>146</v>
      </c>
      <c r="B7" s="217" t="s">
        <v>21</v>
      </c>
      <c r="C7" s="220">
        <v>4.6900000000000004</v>
      </c>
      <c r="D7" s="218">
        <v>4.41</v>
      </c>
      <c r="E7" s="218">
        <v>0.03</v>
      </c>
      <c r="F7" s="219">
        <v>188.5</v>
      </c>
      <c r="G7" s="112"/>
      <c r="H7" s="87"/>
    </row>
    <row r="8" spans="1:8" ht="14.25" x14ac:dyDescent="0.2">
      <c r="A8" s="224" t="s">
        <v>147</v>
      </c>
      <c r="B8" s="217" t="s">
        <v>22</v>
      </c>
      <c r="C8" s="220">
        <v>4.6900000000000004</v>
      </c>
      <c r="D8" s="218">
        <v>4.3600000000000003</v>
      </c>
      <c r="E8" s="218">
        <v>0.03</v>
      </c>
      <c r="F8" s="219">
        <v>188.5</v>
      </c>
      <c r="G8" s="112"/>
      <c r="H8" s="87"/>
    </row>
    <row r="9" spans="1:8" ht="14.25" x14ac:dyDescent="0.2">
      <c r="A9" s="224" t="s">
        <v>148</v>
      </c>
      <c r="B9" s="221" t="s">
        <v>39</v>
      </c>
      <c r="C9" s="222">
        <v>5.5</v>
      </c>
      <c r="D9" s="218">
        <v>5.05</v>
      </c>
      <c r="E9" s="218">
        <v>1.7261710854497195E-2</v>
      </c>
      <c r="F9" s="223">
        <v>285</v>
      </c>
    </row>
    <row r="10" spans="1:8" ht="14.25" x14ac:dyDescent="0.2">
      <c r="A10" s="224" t="s">
        <v>149</v>
      </c>
      <c r="B10" s="221" t="s">
        <v>40</v>
      </c>
      <c r="C10" s="222">
        <v>3.37</v>
      </c>
      <c r="D10" s="218">
        <v>3.0286901472544776</v>
      </c>
      <c r="E10" s="218">
        <v>2.8709470526665469E-2</v>
      </c>
      <c r="F10" s="223">
        <v>128</v>
      </c>
    </row>
    <row r="11" spans="1:8" ht="14.25" x14ac:dyDescent="0.2">
      <c r="A11" s="224" t="s">
        <v>150</v>
      </c>
      <c r="B11" s="221" t="s">
        <v>41</v>
      </c>
      <c r="C11" s="222">
        <v>3.33</v>
      </c>
      <c r="D11" s="218">
        <v>3.0180291175183172</v>
      </c>
      <c r="E11" s="218">
        <v>2.7959469482080872E-2</v>
      </c>
      <c r="F11" s="223">
        <v>136</v>
      </c>
    </row>
    <row r="12" spans="1:8" ht="14.25" x14ac:dyDescent="0.2">
      <c r="A12" s="224" t="s">
        <v>151</v>
      </c>
      <c r="B12" s="221" t="s">
        <v>42</v>
      </c>
      <c r="C12" s="222">
        <v>4</v>
      </c>
      <c r="D12" s="218">
        <v>3.2608300021876779</v>
      </c>
      <c r="E12" s="218">
        <v>3.1896622810143084E-2</v>
      </c>
      <c r="F12" s="223">
        <v>152.1919</v>
      </c>
    </row>
    <row r="13" spans="1:8" ht="14.25" x14ac:dyDescent="0.2">
      <c r="A13" s="224" t="s">
        <v>153</v>
      </c>
      <c r="B13" s="221" t="s">
        <v>43</v>
      </c>
      <c r="C13" s="222">
        <v>3.88</v>
      </c>
      <c r="D13" s="218">
        <v>3.5772768168709992</v>
      </c>
      <c r="E13" s="218">
        <v>2.098778975852307E-2</v>
      </c>
      <c r="F13" s="223">
        <v>166</v>
      </c>
    </row>
    <row r="14" spans="1:8" ht="14.25" x14ac:dyDescent="0.2">
      <c r="A14" s="224" t="s">
        <v>152</v>
      </c>
      <c r="B14" s="221" t="s">
        <v>44</v>
      </c>
      <c r="C14" s="222">
        <v>3.92</v>
      </c>
      <c r="D14" s="218">
        <v>3.6156712400571931</v>
      </c>
      <c r="E14" s="218">
        <v>2.1235587855804094E-2</v>
      </c>
      <c r="F14" s="223">
        <v>154.20779999999999</v>
      </c>
    </row>
    <row r="15" spans="1:8" ht="14.25" x14ac:dyDescent="0.2">
      <c r="A15" s="224" t="s">
        <v>154</v>
      </c>
      <c r="B15" s="221" t="s">
        <v>45</v>
      </c>
      <c r="C15" s="222">
        <v>4.1399999999999997</v>
      </c>
      <c r="D15" s="218">
        <v>3.6688164839115607</v>
      </c>
      <c r="E15" s="218">
        <v>5.7205956570089408E-2</v>
      </c>
      <c r="F15" s="223">
        <v>176</v>
      </c>
    </row>
    <row r="16" spans="1:8" ht="14.25" x14ac:dyDescent="0.2">
      <c r="A16" s="224" t="s">
        <v>155</v>
      </c>
      <c r="B16" s="221" t="s">
        <v>46</v>
      </c>
      <c r="C16" s="222">
        <v>4.18</v>
      </c>
      <c r="D16" s="218">
        <v>3.7887174841264493</v>
      </c>
      <c r="E16" s="218">
        <v>1.6011938484475286E-2</v>
      </c>
      <c r="F16" s="223">
        <v>166.21850000000001</v>
      </c>
    </row>
    <row r="17" spans="1:6" ht="14.25" x14ac:dyDescent="0.2">
      <c r="A17" s="224" t="s">
        <v>156</v>
      </c>
      <c r="B17" s="221" t="s">
        <v>47</v>
      </c>
      <c r="C17" s="222">
        <v>4.53</v>
      </c>
      <c r="D17" s="218">
        <v>4.0597884815850556</v>
      </c>
      <c r="E17" s="218">
        <v>1.1960746975337331E-2</v>
      </c>
      <c r="F17" s="223">
        <v>190</v>
      </c>
    </row>
    <row r="18" spans="1:6" ht="14.25" x14ac:dyDescent="0.2">
      <c r="A18" s="224" t="s">
        <v>157</v>
      </c>
      <c r="B18" s="221" t="s">
        <v>48</v>
      </c>
      <c r="C18" s="222">
        <v>4.57</v>
      </c>
      <c r="D18" s="218">
        <v>4.1062454974280209</v>
      </c>
      <c r="E18" s="218">
        <v>1.4878945786478665E-2</v>
      </c>
      <c r="F18" s="223">
        <v>178.22919999999999</v>
      </c>
    </row>
    <row r="19" spans="1:6" ht="14.25" x14ac:dyDescent="0.2">
      <c r="A19" s="224" t="s">
        <v>158</v>
      </c>
      <c r="B19" s="221" t="s">
        <v>49</v>
      </c>
      <c r="C19" s="222">
        <v>4.5</v>
      </c>
      <c r="D19" s="218">
        <v>4.1869228830358898</v>
      </c>
      <c r="E19" s="218">
        <v>1.4830341006415042E-2</v>
      </c>
      <c r="F19" s="223">
        <v>190</v>
      </c>
    </row>
    <row r="20" spans="1:6" ht="14.25" x14ac:dyDescent="0.2">
      <c r="A20" s="224" t="s">
        <v>159</v>
      </c>
      <c r="B20" s="221" t="s">
        <v>50</v>
      </c>
      <c r="C20" s="222">
        <v>4.54</v>
      </c>
      <c r="D20" s="218">
        <v>4.2089527179686259</v>
      </c>
      <c r="E20" s="218">
        <v>1.474306035096278E-2</v>
      </c>
      <c r="F20" s="223">
        <v>178.22919999999999</v>
      </c>
    </row>
    <row r="21" spans="1:6" ht="14.25" x14ac:dyDescent="0.2">
      <c r="A21" s="224" t="s">
        <v>160</v>
      </c>
      <c r="B21" s="221" t="s">
        <v>51</v>
      </c>
      <c r="C21" s="222">
        <v>5.18</v>
      </c>
      <c r="D21" s="218">
        <v>4.5640795064858457</v>
      </c>
      <c r="E21" s="218">
        <v>1.3563151461749332E-2</v>
      </c>
      <c r="F21" s="223">
        <v>212</v>
      </c>
    </row>
    <row r="22" spans="1:6" ht="14.25" x14ac:dyDescent="0.2">
      <c r="A22" s="224" t="s">
        <v>161</v>
      </c>
      <c r="B22" s="221" t="s">
        <v>52</v>
      </c>
      <c r="C22" s="222">
        <v>5.22</v>
      </c>
      <c r="D22" s="218">
        <v>4.6170014707462164</v>
      </c>
      <c r="E22" s="218">
        <v>1.5633799374794314E-2</v>
      </c>
      <c r="F22" s="223">
        <v>202.25059999999999</v>
      </c>
    </row>
    <row r="23" spans="1:6" ht="14.25" x14ac:dyDescent="0.2">
      <c r="A23" s="224" t="s">
        <v>162</v>
      </c>
      <c r="B23" s="221" t="s">
        <v>53</v>
      </c>
      <c r="C23" s="222">
        <v>5.14</v>
      </c>
      <c r="D23" s="218">
        <v>4.6359878836804258</v>
      </c>
      <c r="E23" s="218">
        <v>1.8786815370969989E-2</v>
      </c>
      <c r="F23" s="223">
        <v>212</v>
      </c>
    </row>
    <row r="24" spans="1:6" ht="14.25" x14ac:dyDescent="0.2">
      <c r="A24" s="224" t="s">
        <v>163</v>
      </c>
      <c r="B24" s="221" t="s">
        <v>54</v>
      </c>
      <c r="C24" s="222">
        <v>5.18</v>
      </c>
      <c r="D24" s="218">
        <v>4.6750038349873622</v>
      </c>
      <c r="E24" s="218">
        <v>2.1701077126665261E-2</v>
      </c>
      <c r="F24" s="223">
        <v>202.25059999999999</v>
      </c>
    </row>
    <row r="25" spans="1:6" ht="14.25" x14ac:dyDescent="0.2">
      <c r="A25" s="224" t="s">
        <v>164</v>
      </c>
      <c r="B25" s="221" t="s">
        <v>55</v>
      </c>
      <c r="C25" s="222">
        <v>5.82</v>
      </c>
      <c r="D25" s="218">
        <v>5.2136906209125788</v>
      </c>
      <c r="E25" s="218">
        <v>1.3428557941789897E-2</v>
      </c>
      <c r="F25" s="223">
        <v>240</v>
      </c>
    </row>
    <row r="26" spans="1:6" ht="14.25" x14ac:dyDescent="0.2">
      <c r="A26" s="224" t="s">
        <v>165</v>
      </c>
      <c r="B26" s="221" t="s">
        <v>56</v>
      </c>
      <c r="C26" s="222">
        <v>5.86</v>
      </c>
      <c r="D26" s="218">
        <v>5.2492390686899837</v>
      </c>
      <c r="E26" s="218">
        <v>1.5880787472864009E-2</v>
      </c>
      <c r="F26" s="223">
        <v>228</v>
      </c>
    </row>
    <row r="27" spans="1:6" ht="14.25" x14ac:dyDescent="0.2">
      <c r="A27" s="224" t="s">
        <v>166</v>
      </c>
      <c r="B27" s="221" t="s">
        <v>57</v>
      </c>
      <c r="C27" s="222">
        <v>5.91</v>
      </c>
      <c r="D27" s="218">
        <v>5.318127564239723</v>
      </c>
      <c r="E27" s="218">
        <v>3.045718900825169E-2</v>
      </c>
      <c r="F27" s="223">
        <v>228.28790000000001</v>
      </c>
    </row>
    <row r="28" spans="1:6" ht="14.25" x14ac:dyDescent="0.2">
      <c r="A28" s="224" t="s">
        <v>167</v>
      </c>
      <c r="B28" s="221" t="s">
        <v>58</v>
      </c>
      <c r="C28" s="222">
        <v>6.2</v>
      </c>
      <c r="D28" s="218">
        <v>5.4921962313718824</v>
      </c>
      <c r="E28" s="218">
        <v>2.1831483754294664E-2</v>
      </c>
      <c r="F28" s="223">
        <v>264</v>
      </c>
    </row>
    <row r="29" spans="1:6" ht="14.25" x14ac:dyDescent="0.2">
      <c r="A29" s="224" t="s">
        <v>168</v>
      </c>
      <c r="B29" s="221" t="s">
        <v>59</v>
      </c>
      <c r="C29" s="222">
        <v>6</v>
      </c>
      <c r="D29" s="218">
        <v>5.5808036982324793</v>
      </c>
      <c r="E29" s="218">
        <v>1.7359640549644714E-2</v>
      </c>
      <c r="F29" s="223">
        <v>264</v>
      </c>
    </row>
    <row r="30" spans="1:6" ht="14.25" x14ac:dyDescent="0.2">
      <c r="A30" s="224" t="s">
        <v>169</v>
      </c>
      <c r="B30" s="221" t="s">
        <v>60</v>
      </c>
      <c r="C30" s="222">
        <v>6.04</v>
      </c>
      <c r="D30" s="218">
        <v>5.6920898810178597</v>
      </c>
      <c r="E30" s="218">
        <v>1.9358828630226872E-2</v>
      </c>
      <c r="F30" s="223">
        <v>252.30930000000001</v>
      </c>
    </row>
    <row r="31" spans="1:6" ht="14.25" x14ac:dyDescent="0.2">
      <c r="A31" s="224" t="s">
        <v>171</v>
      </c>
      <c r="B31" s="221" t="s">
        <v>61</v>
      </c>
      <c r="C31" s="222">
        <v>5.9</v>
      </c>
      <c r="D31" s="218">
        <v>5.7364742126035688</v>
      </c>
      <c r="E31" s="218">
        <v>1.6114824127378326E-2</v>
      </c>
      <c r="F31" s="223">
        <v>252</v>
      </c>
    </row>
    <row r="32" spans="1:6" ht="14.25" x14ac:dyDescent="0.2">
      <c r="A32" s="224" t="s">
        <v>170</v>
      </c>
      <c r="B32" s="221" t="s">
        <v>62</v>
      </c>
      <c r="C32" s="222">
        <v>5.9</v>
      </c>
      <c r="D32" s="218">
        <v>5.74</v>
      </c>
      <c r="E32" s="218">
        <v>0.04</v>
      </c>
      <c r="F32" s="223">
        <v>252</v>
      </c>
    </row>
    <row r="33" spans="1:7" ht="14.25" x14ac:dyDescent="0.2">
      <c r="A33" s="224" t="s">
        <v>172</v>
      </c>
      <c r="B33" s="221" t="s">
        <v>63</v>
      </c>
      <c r="C33" s="222">
        <v>5.9</v>
      </c>
      <c r="D33" s="218">
        <v>5.74</v>
      </c>
      <c r="E33" s="218">
        <v>0.04</v>
      </c>
      <c r="F33" s="223">
        <v>252</v>
      </c>
    </row>
    <row r="34" spans="1:7" ht="14.25" x14ac:dyDescent="0.2">
      <c r="A34" s="224" t="s">
        <v>173</v>
      </c>
      <c r="B34" s="221" t="s">
        <v>64</v>
      </c>
      <c r="C34" s="222">
        <v>6.05</v>
      </c>
      <c r="D34" s="218">
        <v>5.63</v>
      </c>
      <c r="E34" s="218">
        <v>0.04</v>
      </c>
      <c r="F34" s="223">
        <v>252.30930000000001</v>
      </c>
    </row>
    <row r="35" spans="1:7" ht="14.25" x14ac:dyDescent="0.2">
      <c r="A35" s="224" t="s">
        <v>174</v>
      </c>
      <c r="B35" s="221" t="s">
        <v>65</v>
      </c>
      <c r="C35" s="222">
        <v>6.5</v>
      </c>
      <c r="D35" s="218">
        <v>6.0196171859419252</v>
      </c>
      <c r="E35" s="218">
        <v>4.9012005305654714E-2</v>
      </c>
      <c r="F35" s="223">
        <v>276</v>
      </c>
    </row>
    <row r="36" spans="1:7" ht="14.25" x14ac:dyDescent="0.2">
      <c r="A36" s="224" t="s">
        <v>175</v>
      </c>
      <c r="B36" s="221" t="s">
        <v>66</v>
      </c>
      <c r="C36" s="222">
        <v>6.5</v>
      </c>
      <c r="D36" s="218">
        <v>6.0560039460550357</v>
      </c>
      <c r="E36" s="218">
        <v>7.5046379074974592E-2</v>
      </c>
      <c r="F36" s="223">
        <v>276</v>
      </c>
    </row>
    <row r="37" spans="1:7" ht="14.25" x14ac:dyDescent="0.2">
      <c r="A37" s="224" t="s">
        <v>176</v>
      </c>
      <c r="B37" s="221" t="s">
        <v>67</v>
      </c>
      <c r="C37" s="222">
        <v>6.75</v>
      </c>
      <c r="D37" s="218">
        <v>6.237033315914462</v>
      </c>
      <c r="E37" s="218">
        <v>5.2997794390473869E-2</v>
      </c>
      <c r="F37" s="223">
        <v>278</v>
      </c>
    </row>
    <row r="38" spans="1:7" ht="14.25" x14ac:dyDescent="0.2">
      <c r="A38" s="224" t="s">
        <v>177</v>
      </c>
      <c r="B38" s="221" t="s">
        <v>68</v>
      </c>
      <c r="C38" s="222">
        <v>6.7</v>
      </c>
      <c r="D38" s="218">
        <v>6.3812489443439233</v>
      </c>
      <c r="E38" s="218">
        <v>0.12748875185631128</v>
      </c>
      <c r="F38" s="223">
        <v>290</v>
      </c>
      <c r="G38" s="113"/>
    </row>
    <row r="39" spans="1:7" ht="14.25" x14ac:dyDescent="0.2">
      <c r="A39" s="224" t="s">
        <v>178</v>
      </c>
      <c r="B39" s="221" t="s">
        <v>69</v>
      </c>
      <c r="C39" s="222">
        <v>4.6500000000000004</v>
      </c>
      <c r="D39" s="218">
        <v>4.5874663206356532</v>
      </c>
      <c r="E39" s="218">
        <v>3.3667914541523881E-2</v>
      </c>
      <c r="F39" s="223">
        <v>223</v>
      </c>
      <c r="G39" s="113"/>
    </row>
    <row r="40" spans="1:7" ht="14.25" x14ac:dyDescent="0.2">
      <c r="A40" s="224" t="s">
        <v>179</v>
      </c>
      <c r="B40" s="221" t="s">
        <v>23</v>
      </c>
      <c r="C40" s="222">
        <v>4.84</v>
      </c>
      <c r="D40" s="218">
        <v>4.5807477196850215</v>
      </c>
      <c r="E40" s="218">
        <v>2.9994671705132626E-2</v>
      </c>
      <c r="F40" s="223">
        <v>223</v>
      </c>
      <c r="G40" s="112"/>
    </row>
    <row r="41" spans="1:7" ht="14.25" x14ac:dyDescent="0.2">
      <c r="A41" s="224" t="s">
        <v>180</v>
      </c>
      <c r="B41" s="221" t="s">
        <v>24</v>
      </c>
      <c r="C41" s="222">
        <v>5.28</v>
      </c>
      <c r="D41" s="218">
        <v>5.1126693807304999</v>
      </c>
      <c r="E41" s="218">
        <v>1.1364258747487919E-2</v>
      </c>
      <c r="F41" s="223">
        <v>223</v>
      </c>
      <c r="G41" s="112"/>
    </row>
    <row r="42" spans="1:7" ht="14.25" x14ac:dyDescent="0.2">
      <c r="A42" s="224" t="s">
        <v>181</v>
      </c>
      <c r="B42" s="221" t="s">
        <v>70</v>
      </c>
      <c r="C42" s="222">
        <v>5.24</v>
      </c>
      <c r="D42" s="218">
        <v>5.2314036775982951</v>
      </c>
      <c r="E42" s="218">
        <v>2.9471713313258176E-2</v>
      </c>
      <c r="F42" s="223">
        <v>257.5</v>
      </c>
      <c r="G42" s="113"/>
    </row>
    <row r="43" spans="1:7" ht="14.25" x14ac:dyDescent="0.2">
      <c r="A43" s="224" t="s">
        <v>182</v>
      </c>
      <c r="B43" s="221" t="s">
        <v>27</v>
      </c>
      <c r="C43" s="222">
        <v>5.51</v>
      </c>
      <c r="D43" s="218">
        <v>5.3808401792380556</v>
      </c>
      <c r="E43" s="218">
        <v>2.1825725816601759E-2</v>
      </c>
      <c r="F43" s="223">
        <v>257.5</v>
      </c>
      <c r="G43" s="112"/>
    </row>
    <row r="44" spans="1:7" ht="14.25" x14ac:dyDescent="0.2">
      <c r="A44" s="224" t="s">
        <v>183</v>
      </c>
      <c r="B44" s="221" t="s">
        <v>71</v>
      </c>
      <c r="C44" s="222">
        <v>5.67</v>
      </c>
      <c r="D44" s="218">
        <v>5.5266967787200869</v>
      </c>
      <c r="E44" s="218">
        <v>2.063616584122006E-2</v>
      </c>
      <c r="F44" s="223">
        <v>257.5</v>
      </c>
      <c r="G44" s="113"/>
    </row>
    <row r="45" spans="1:7" ht="14.25" x14ac:dyDescent="0.2">
      <c r="A45" s="224" t="s">
        <v>184</v>
      </c>
      <c r="B45" s="221" t="s">
        <v>72</v>
      </c>
      <c r="C45" s="222">
        <v>5.6</v>
      </c>
      <c r="D45" s="218">
        <v>5.4261309954710439</v>
      </c>
      <c r="E45" s="218">
        <v>1.4429105672319151E-2</v>
      </c>
      <c r="F45" s="223">
        <v>257.5</v>
      </c>
      <c r="G45" s="113"/>
    </row>
    <row r="46" spans="1:7" ht="14.25" x14ac:dyDescent="0.2">
      <c r="A46" s="224" t="s">
        <v>185</v>
      </c>
      <c r="B46" s="221" t="s">
        <v>25</v>
      </c>
      <c r="C46" s="222">
        <v>5.44</v>
      </c>
      <c r="D46" s="218">
        <v>5.2150772759290298</v>
      </c>
      <c r="E46" s="218">
        <v>1.7584602567593418E-2</v>
      </c>
      <c r="F46" s="223">
        <v>257.5</v>
      </c>
      <c r="G46" s="112"/>
    </row>
    <row r="47" spans="1:7" ht="14.25" x14ac:dyDescent="0.2">
      <c r="A47" s="224" t="s">
        <v>186</v>
      </c>
      <c r="B47" s="221" t="s">
        <v>73</v>
      </c>
      <c r="C47" s="222">
        <v>5.67</v>
      </c>
      <c r="D47" s="218">
        <v>5.4870899312813828</v>
      </c>
      <c r="E47" s="218">
        <v>2.04289067927221E-2</v>
      </c>
      <c r="F47" s="223">
        <v>257.5</v>
      </c>
      <c r="G47" s="113"/>
    </row>
    <row r="48" spans="1:7" ht="14.25" x14ac:dyDescent="0.2">
      <c r="A48" s="224" t="s">
        <v>187</v>
      </c>
      <c r="B48" s="221" t="s">
        <v>74</v>
      </c>
      <c r="C48" s="222">
        <v>5.75</v>
      </c>
      <c r="D48" s="218">
        <v>5.8184507088331614</v>
      </c>
      <c r="E48" s="218">
        <v>2.8089592967465018E-2</v>
      </c>
      <c r="F48" s="223">
        <v>292</v>
      </c>
      <c r="G48" s="113"/>
    </row>
    <row r="49" spans="1:7" ht="14.25" x14ac:dyDescent="0.2">
      <c r="A49" s="224" t="s">
        <v>188</v>
      </c>
      <c r="B49" s="221" t="s">
        <v>75</v>
      </c>
      <c r="C49" s="222">
        <v>5.85</v>
      </c>
      <c r="D49" s="218">
        <v>5.7813854201742112</v>
      </c>
      <c r="E49" s="218">
        <v>2.7758273531805495E-2</v>
      </c>
      <c r="F49" s="223">
        <v>292</v>
      </c>
      <c r="G49" s="113"/>
    </row>
    <row r="50" spans="1:7" ht="14.25" x14ac:dyDescent="0.2">
      <c r="A50" s="224" t="s">
        <v>189</v>
      </c>
      <c r="B50" s="221" t="s">
        <v>76</v>
      </c>
      <c r="C50" s="222">
        <v>5.85</v>
      </c>
      <c r="D50" s="218">
        <v>5.877076211133816</v>
      </c>
      <c r="E50" s="218">
        <v>2.5201519567200011E-2</v>
      </c>
      <c r="F50" s="223">
        <v>292</v>
      </c>
      <c r="G50" s="113"/>
    </row>
    <row r="51" spans="1:7" ht="14.25" x14ac:dyDescent="0.2">
      <c r="A51" s="224" t="s">
        <v>190</v>
      </c>
      <c r="B51" s="221" t="s">
        <v>26</v>
      </c>
      <c r="C51" s="222">
        <v>5.63</v>
      </c>
      <c r="D51" s="218">
        <v>5.7103808749838159</v>
      </c>
      <c r="E51" s="218">
        <v>2.6947171318646209E-2</v>
      </c>
      <c r="F51" s="223">
        <v>292</v>
      </c>
      <c r="G51" s="112"/>
    </row>
    <row r="52" spans="1:7" ht="14.25" x14ac:dyDescent="0.2">
      <c r="A52" s="224" t="s">
        <v>191</v>
      </c>
      <c r="B52" s="221" t="s">
        <v>77</v>
      </c>
      <c r="C52" s="222">
        <v>5.84</v>
      </c>
      <c r="D52" s="218">
        <v>5.8045671866234967</v>
      </c>
      <c r="E52" s="218">
        <v>2.524434654788894E-2</v>
      </c>
      <c r="F52" s="223">
        <v>292</v>
      </c>
      <c r="G52" s="113"/>
    </row>
    <row r="53" spans="1:7" ht="14.25" x14ac:dyDescent="0.2">
      <c r="A53" s="224" t="s">
        <v>192</v>
      </c>
      <c r="B53" s="221" t="s">
        <v>29</v>
      </c>
      <c r="C53" s="222">
        <v>6.11</v>
      </c>
      <c r="D53" s="218">
        <v>5.9910108136063922</v>
      </c>
      <c r="E53" s="218">
        <v>2.5621680795562846E-2</v>
      </c>
      <c r="F53" s="223">
        <v>292</v>
      </c>
      <c r="G53" s="112"/>
    </row>
    <row r="54" spans="1:7" ht="14.25" x14ac:dyDescent="0.2">
      <c r="A54" s="224" t="s">
        <v>193</v>
      </c>
      <c r="B54" s="221" t="s">
        <v>78</v>
      </c>
      <c r="C54" s="222">
        <v>6.11</v>
      </c>
      <c r="D54" s="218">
        <v>6.0420061396350393</v>
      </c>
      <c r="E54" s="218">
        <v>2.7382216918003095E-2</v>
      </c>
      <c r="F54" s="223">
        <v>292</v>
      </c>
      <c r="G54" s="113"/>
    </row>
    <row r="55" spans="1:7" ht="14.25" x14ac:dyDescent="0.2">
      <c r="A55" s="224" t="s">
        <v>194</v>
      </c>
      <c r="B55" s="221" t="s">
        <v>79</v>
      </c>
      <c r="C55" s="222">
        <v>6.2</v>
      </c>
      <c r="D55" s="218">
        <v>6.0315063914178237</v>
      </c>
      <c r="E55" s="218">
        <v>2.4590587749000432E-2</v>
      </c>
      <c r="F55" s="223">
        <v>292</v>
      </c>
      <c r="G55" s="113"/>
    </row>
    <row r="56" spans="1:7" ht="14.25" x14ac:dyDescent="0.2">
      <c r="A56" s="224" t="s">
        <v>195</v>
      </c>
      <c r="B56" s="221" t="s">
        <v>30</v>
      </c>
      <c r="C56" s="222">
        <v>6.35</v>
      </c>
      <c r="D56" s="218">
        <v>6.0670416013311428</v>
      </c>
      <c r="E56" s="218">
        <v>1.9972717756606286E-2</v>
      </c>
      <c r="F56" s="223">
        <v>292</v>
      </c>
      <c r="G56" s="112"/>
    </row>
    <row r="57" spans="1:7" ht="14.25" x14ac:dyDescent="0.2">
      <c r="A57" s="224" t="s">
        <v>196</v>
      </c>
      <c r="B57" s="221" t="s">
        <v>80</v>
      </c>
      <c r="C57" s="222">
        <v>6.3</v>
      </c>
      <c r="D57" s="218">
        <v>6.2434027606967328</v>
      </c>
      <c r="E57" s="218">
        <v>5.4143847313002938E-2</v>
      </c>
      <c r="F57" s="223">
        <v>326.5</v>
      </c>
      <c r="G57" s="113"/>
    </row>
    <row r="58" spans="1:7" ht="14.25" x14ac:dyDescent="0.2">
      <c r="A58" s="224" t="s">
        <v>197</v>
      </c>
      <c r="B58" s="221" t="s">
        <v>81</v>
      </c>
      <c r="C58" s="222">
        <v>6.29</v>
      </c>
      <c r="D58" s="218">
        <v>6.3430544312669568</v>
      </c>
      <c r="E58" s="218">
        <v>3.2513896843135159E-2</v>
      </c>
      <c r="F58" s="223">
        <v>326.5</v>
      </c>
      <c r="G58" s="113"/>
    </row>
    <row r="59" spans="1:7" ht="14.25" x14ac:dyDescent="0.2">
      <c r="A59" s="224" t="s">
        <v>198</v>
      </c>
      <c r="B59" s="221" t="s">
        <v>82</v>
      </c>
      <c r="C59" s="222">
        <v>6.29</v>
      </c>
      <c r="D59" s="218">
        <v>6.2112608738589188</v>
      </c>
      <c r="E59" s="218">
        <v>2.8454496900501568E-2</v>
      </c>
      <c r="F59" s="223">
        <v>326.5</v>
      </c>
      <c r="G59" s="113"/>
    </row>
    <row r="60" spans="1:7" ht="14.25" x14ac:dyDescent="0.2">
      <c r="A60" s="224" t="s">
        <v>199</v>
      </c>
      <c r="B60" s="221" t="s">
        <v>83</v>
      </c>
      <c r="C60" s="222">
        <v>6.39</v>
      </c>
      <c r="D60" s="218">
        <v>6.3709189457412743</v>
      </c>
      <c r="E60" s="218">
        <v>2.3594327964167064E-2</v>
      </c>
      <c r="F60" s="223">
        <v>326.5</v>
      </c>
      <c r="G60" s="113"/>
    </row>
    <row r="61" spans="1:7" ht="14.25" x14ac:dyDescent="0.2">
      <c r="A61" s="224" t="s">
        <v>84</v>
      </c>
      <c r="B61" s="221" t="s">
        <v>84</v>
      </c>
      <c r="C61" s="222">
        <v>6.38</v>
      </c>
      <c r="D61" s="218">
        <v>6.2773751104518185</v>
      </c>
      <c r="E61" s="218">
        <v>2.7991459347288115E-2</v>
      </c>
      <c r="F61" s="223">
        <v>326.5</v>
      </c>
      <c r="G61" s="113"/>
    </row>
    <row r="62" spans="1:7" ht="14.25" x14ac:dyDescent="0.2">
      <c r="A62" s="224" t="s">
        <v>28</v>
      </c>
      <c r="B62" s="221" t="s">
        <v>28</v>
      </c>
      <c r="C62" s="222">
        <v>5.81</v>
      </c>
      <c r="D62" s="218">
        <v>6.1512473526090172</v>
      </c>
      <c r="E62" s="218">
        <v>2.854398990887818E-2</v>
      </c>
      <c r="F62" s="223">
        <v>326.5</v>
      </c>
      <c r="G62" s="112"/>
    </row>
    <row r="63" spans="1:7" ht="14.25" x14ac:dyDescent="0.2">
      <c r="A63" s="224" t="s">
        <v>85</v>
      </c>
      <c r="B63" s="221" t="s">
        <v>85</v>
      </c>
      <c r="C63" s="222">
        <v>6.65</v>
      </c>
      <c r="D63" s="218">
        <v>6.4224023183958998</v>
      </c>
      <c r="E63" s="218">
        <v>3.1871768538377032E-2</v>
      </c>
      <c r="F63" s="223">
        <v>326.5</v>
      </c>
      <c r="G63" s="113"/>
    </row>
    <row r="64" spans="1:7" ht="14.25" x14ac:dyDescent="0.2">
      <c r="A64" s="224" t="s">
        <v>86</v>
      </c>
      <c r="B64" s="221" t="s">
        <v>86</v>
      </c>
      <c r="C64" s="222">
        <v>6.48</v>
      </c>
      <c r="D64" s="218">
        <v>6.3026239068286118</v>
      </c>
      <c r="E64" s="218">
        <v>3.2955113807367396E-2</v>
      </c>
      <c r="F64" s="223">
        <v>326.5</v>
      </c>
      <c r="G64" s="113"/>
    </row>
    <row r="65" spans="1:7" ht="14.25" x14ac:dyDescent="0.2">
      <c r="A65" s="224" t="s">
        <v>87</v>
      </c>
      <c r="B65" s="221" t="s">
        <v>87</v>
      </c>
      <c r="C65" s="222">
        <v>6.74</v>
      </c>
      <c r="D65" s="218">
        <v>6.4166943404448658</v>
      </c>
      <c r="E65" s="218">
        <v>2.6272367348852715E-2</v>
      </c>
      <c r="F65" s="223">
        <v>326.5</v>
      </c>
      <c r="G65" s="113"/>
    </row>
    <row r="66" spans="1:7" ht="14.25" x14ac:dyDescent="0.2">
      <c r="A66" s="224" t="s">
        <v>88</v>
      </c>
      <c r="B66" s="221" t="s">
        <v>88</v>
      </c>
      <c r="C66" s="222">
        <v>6.74</v>
      </c>
      <c r="D66" s="218">
        <v>6.762817473088881</v>
      </c>
      <c r="E66" s="218">
        <v>2.9937421299533348E-2</v>
      </c>
      <c r="F66" s="223">
        <v>361</v>
      </c>
      <c r="G66" s="113"/>
    </row>
    <row r="67" spans="1:7" ht="14.25" x14ac:dyDescent="0.2">
      <c r="A67" s="224" t="s">
        <v>89</v>
      </c>
      <c r="B67" s="221" t="s">
        <v>89</v>
      </c>
      <c r="C67" s="222">
        <v>6.83</v>
      </c>
      <c r="D67" s="218">
        <v>6.8186058130112643</v>
      </c>
      <c r="E67" s="218">
        <v>2.6843802449374336E-2</v>
      </c>
      <c r="F67" s="223">
        <v>361</v>
      </c>
      <c r="G67" s="113"/>
    </row>
    <row r="68" spans="1:7" ht="14.25" x14ac:dyDescent="0.2">
      <c r="A68" s="224" t="s">
        <v>90</v>
      </c>
      <c r="B68" s="221" t="s">
        <v>90</v>
      </c>
      <c r="C68" s="222">
        <v>6.83</v>
      </c>
      <c r="D68" s="218">
        <v>6.7660714956135521</v>
      </c>
      <c r="E68" s="218">
        <v>2.8484226931851628E-2</v>
      </c>
      <c r="F68" s="223">
        <v>361</v>
      </c>
      <c r="G68" s="113"/>
    </row>
    <row r="69" spans="1:7" ht="14.25" x14ac:dyDescent="0.2">
      <c r="A69" s="224" t="s">
        <v>91</v>
      </c>
      <c r="B69" s="221" t="s">
        <v>91</v>
      </c>
      <c r="C69" s="222">
        <v>6.82</v>
      </c>
      <c r="D69" s="218">
        <v>6.6980783475815002</v>
      </c>
      <c r="E69" s="218">
        <v>3.4198595145745379E-2</v>
      </c>
      <c r="F69" s="223">
        <v>361</v>
      </c>
      <c r="G69" s="113"/>
    </row>
    <row r="70" spans="1:7" ht="14.25" x14ac:dyDescent="0.2">
      <c r="A70" s="224" t="s">
        <v>31</v>
      </c>
      <c r="B70" s="221" t="s">
        <v>31</v>
      </c>
      <c r="C70" s="222">
        <v>6.25</v>
      </c>
      <c r="D70" s="218">
        <v>6.6244385515080841</v>
      </c>
      <c r="E70" s="218">
        <v>2.7412597040019832E-2</v>
      </c>
      <c r="F70" s="223">
        <v>361</v>
      </c>
      <c r="G70" s="112"/>
    </row>
    <row r="71" spans="1:7" ht="14.25" x14ac:dyDescent="0.2">
      <c r="A71" s="224" t="s">
        <v>92</v>
      </c>
      <c r="B71" s="221" t="s">
        <v>92</v>
      </c>
      <c r="C71" s="222">
        <v>6.67</v>
      </c>
      <c r="D71" s="218">
        <v>6.6375624922232115</v>
      </c>
      <c r="E71" s="218">
        <v>2.9653452611878548E-2</v>
      </c>
      <c r="F71" s="223">
        <v>361</v>
      </c>
      <c r="G71" s="113"/>
    </row>
    <row r="72" spans="1:7" ht="14.25" x14ac:dyDescent="0.2">
      <c r="A72" s="224" t="s">
        <v>93</v>
      </c>
      <c r="B72" s="221" t="s">
        <v>93</v>
      </c>
      <c r="C72" s="222">
        <v>6.64</v>
      </c>
      <c r="D72" s="218">
        <v>6.5824836046804194</v>
      </c>
      <c r="E72" s="218">
        <v>3.6215391408307269E-2</v>
      </c>
      <c r="F72" s="223">
        <v>361</v>
      </c>
      <c r="G72" s="113"/>
    </row>
    <row r="73" spans="1:7" ht="14.25" x14ac:dyDescent="0.2">
      <c r="A73" s="224" t="s">
        <v>94</v>
      </c>
      <c r="B73" s="221" t="s">
        <v>94</v>
      </c>
      <c r="C73" s="222">
        <v>6.92</v>
      </c>
      <c r="D73" s="218">
        <v>6.7180147751284744</v>
      </c>
      <c r="E73" s="218">
        <v>3.084498614739101E-2</v>
      </c>
      <c r="F73" s="223">
        <v>361</v>
      </c>
      <c r="G73" s="113"/>
    </row>
    <row r="74" spans="1:7" ht="14.25" x14ac:dyDescent="0.2">
      <c r="A74" s="224" t="s">
        <v>95</v>
      </c>
      <c r="B74" s="221" t="s">
        <v>95</v>
      </c>
      <c r="C74" s="222">
        <v>6.41</v>
      </c>
      <c r="D74" s="218">
        <v>6.7927903387209936</v>
      </c>
      <c r="E74" s="218">
        <v>3.1348487991936812E-2</v>
      </c>
      <c r="F74" s="223">
        <v>361</v>
      </c>
      <c r="G74" s="113"/>
    </row>
    <row r="75" spans="1:7" ht="14.25" x14ac:dyDescent="0.2">
      <c r="A75" s="224" t="s">
        <v>96</v>
      </c>
      <c r="B75" s="221" t="s">
        <v>96</v>
      </c>
      <c r="C75" s="222">
        <v>7.18</v>
      </c>
      <c r="D75" s="218">
        <v>6.7177911373885664</v>
      </c>
      <c r="E75" s="218">
        <v>4.0412064456671247E-2</v>
      </c>
      <c r="F75" s="223">
        <v>361</v>
      </c>
      <c r="G75" s="113"/>
    </row>
    <row r="76" spans="1:7" ht="14.25" x14ac:dyDescent="0.2">
      <c r="A76" s="224" t="s">
        <v>97</v>
      </c>
      <c r="B76" s="221" t="s">
        <v>97</v>
      </c>
      <c r="C76" s="222">
        <v>7.27</v>
      </c>
      <c r="D76" s="218">
        <v>7.0986171761895891</v>
      </c>
      <c r="E76" s="218">
        <v>5.593492222949769E-2</v>
      </c>
      <c r="F76" s="223">
        <v>395.5</v>
      </c>
      <c r="G76" s="113"/>
    </row>
    <row r="77" spans="1:7" ht="14.25" x14ac:dyDescent="0.2">
      <c r="A77" s="224" t="s">
        <v>98</v>
      </c>
      <c r="B77" s="221" t="s">
        <v>98</v>
      </c>
      <c r="C77" s="222">
        <v>7.36</v>
      </c>
      <c r="D77" s="218">
        <v>6.9889798081326218</v>
      </c>
      <c r="E77" s="218">
        <v>6.2358169115682649E-2</v>
      </c>
      <c r="F77" s="223">
        <v>395.5</v>
      </c>
      <c r="G77" s="113"/>
    </row>
    <row r="78" spans="1:7" ht="14.25" x14ac:dyDescent="0.2">
      <c r="A78" s="224" t="s">
        <v>99</v>
      </c>
      <c r="B78" s="221" t="s">
        <v>99</v>
      </c>
      <c r="C78" s="222">
        <v>7.17</v>
      </c>
      <c r="D78" s="218">
        <v>6.874008916250534</v>
      </c>
      <c r="E78" s="218">
        <v>5.6339413131159366E-2</v>
      </c>
      <c r="F78" s="223">
        <v>395.5</v>
      </c>
      <c r="G78" s="113"/>
    </row>
    <row r="79" spans="1:7" ht="14.25" x14ac:dyDescent="0.2">
      <c r="A79" s="224" t="s">
        <v>32</v>
      </c>
      <c r="B79" s="221" t="s">
        <v>32</v>
      </c>
      <c r="C79" s="222">
        <v>7.3</v>
      </c>
      <c r="D79" s="218">
        <v>7.5869561263185288</v>
      </c>
      <c r="E79" s="218">
        <v>0.1261042595240332</v>
      </c>
      <c r="F79" s="223">
        <v>430</v>
      </c>
      <c r="G79" s="113"/>
    </row>
    <row r="80" spans="1:7" ht="14.25" x14ac:dyDescent="0.2">
      <c r="A80" s="224" t="s">
        <v>231</v>
      </c>
      <c r="B80" s="224" t="s">
        <v>231</v>
      </c>
      <c r="C80" s="222">
        <v>6.24</v>
      </c>
      <c r="D80" s="227">
        <v>5.983285623690997</v>
      </c>
      <c r="E80" s="88"/>
      <c r="F80" s="223">
        <v>406.9</v>
      </c>
      <c r="G80" s="113"/>
    </row>
    <row r="81" spans="1:12" ht="14.25" x14ac:dyDescent="0.2">
      <c r="A81" s="224" t="s">
        <v>232</v>
      </c>
      <c r="B81" s="224" t="s">
        <v>232</v>
      </c>
      <c r="C81" s="222">
        <v>6.8</v>
      </c>
      <c r="D81" s="227">
        <v>6.4908855875426212</v>
      </c>
      <c r="E81" s="88"/>
      <c r="F81" s="223">
        <v>485.79</v>
      </c>
      <c r="G81" s="113"/>
    </row>
    <row r="82" spans="1:12" ht="14.25" x14ac:dyDescent="0.2">
      <c r="A82" s="224" t="s">
        <v>233</v>
      </c>
      <c r="B82" s="224" t="s">
        <v>233</v>
      </c>
      <c r="C82" s="222">
        <v>7</v>
      </c>
      <c r="D82" s="227">
        <v>6.5133154247572023</v>
      </c>
      <c r="E82" s="88"/>
      <c r="F82" s="223">
        <v>485.79</v>
      </c>
      <c r="G82" s="113"/>
    </row>
    <row r="83" spans="1:12" ht="14.25" x14ac:dyDescent="0.2">
      <c r="A83" s="224" t="s">
        <v>234</v>
      </c>
      <c r="B83" s="224" t="s">
        <v>234</v>
      </c>
      <c r="C83" s="222">
        <v>7.09</v>
      </c>
      <c r="D83" s="227">
        <v>6.9670001485812358</v>
      </c>
      <c r="E83" s="88"/>
      <c r="F83" s="223">
        <v>564.69000000000005</v>
      </c>
      <c r="G83" s="113"/>
    </row>
    <row r="84" spans="1:12" ht="14.25" x14ac:dyDescent="0.2">
      <c r="A84" s="224" t="s">
        <v>235</v>
      </c>
      <c r="B84" s="224" t="s">
        <v>235</v>
      </c>
      <c r="C84" s="222">
        <v>7.38</v>
      </c>
      <c r="D84" s="227">
        <v>7.1499423607065928</v>
      </c>
      <c r="E84" s="88"/>
      <c r="F84" s="223">
        <v>564.69000000000005</v>
      </c>
      <c r="G84" s="113"/>
    </row>
    <row r="85" spans="1:12" ht="14.25" x14ac:dyDescent="0.2">
      <c r="A85" s="224" t="s">
        <v>236</v>
      </c>
      <c r="B85" s="224" t="s">
        <v>236</v>
      </c>
      <c r="C85" s="222">
        <v>7.27</v>
      </c>
      <c r="D85" s="227">
        <v>7.0862085391379619</v>
      </c>
      <c r="E85" s="88"/>
      <c r="F85" s="223">
        <v>564.6875</v>
      </c>
      <c r="G85" s="113"/>
    </row>
    <row r="86" spans="1:12" ht="14.25" x14ac:dyDescent="0.2">
      <c r="A86" s="224" t="s">
        <v>237</v>
      </c>
      <c r="B86" s="224" t="s">
        <v>237</v>
      </c>
      <c r="C86" s="222">
        <v>7.62</v>
      </c>
      <c r="D86" s="227">
        <v>7.4398510646483373</v>
      </c>
      <c r="E86" s="88"/>
      <c r="F86" s="223">
        <v>643.58000000000004</v>
      </c>
      <c r="G86" s="113"/>
    </row>
    <row r="87" spans="1:12" ht="14.25" x14ac:dyDescent="0.2">
      <c r="A87" s="224" t="s">
        <v>238</v>
      </c>
      <c r="B87" s="224" t="s">
        <v>238</v>
      </c>
      <c r="C87" s="222">
        <v>7.86</v>
      </c>
      <c r="D87" s="227">
        <v>7.415733510086044</v>
      </c>
      <c r="E87" s="88"/>
      <c r="F87" s="223">
        <v>643.58000000000004</v>
      </c>
      <c r="G87" s="113"/>
    </row>
    <row r="88" spans="1:12" ht="14.25" x14ac:dyDescent="0.2">
      <c r="A88" s="224" t="s">
        <v>239</v>
      </c>
      <c r="B88" s="224" t="s">
        <v>239</v>
      </c>
      <c r="C88" s="222">
        <v>8.61</v>
      </c>
      <c r="D88" s="227">
        <v>7.4897228143387373</v>
      </c>
      <c r="E88" s="88"/>
      <c r="F88" s="223">
        <v>722.48</v>
      </c>
      <c r="G88" s="113"/>
    </row>
    <row r="89" spans="1:12" ht="14.25" x14ac:dyDescent="0.2">
      <c r="A89" s="224" t="s">
        <v>240</v>
      </c>
      <c r="B89" s="224" t="s">
        <v>240</v>
      </c>
      <c r="C89" s="222">
        <v>9.8699999999999992</v>
      </c>
      <c r="D89" s="227">
        <v>7.2132626419206591</v>
      </c>
      <c r="E89" s="88"/>
      <c r="F89" s="223">
        <v>959.17</v>
      </c>
      <c r="G89" s="113"/>
    </row>
    <row r="90" spans="1:12" x14ac:dyDescent="0.2">
      <c r="B90" s="89"/>
      <c r="C90" s="90"/>
      <c r="D90" s="88"/>
      <c r="E90" s="158"/>
      <c r="F90" s="2"/>
      <c r="G90" s="113"/>
    </row>
    <row r="91" spans="1:12" ht="15" x14ac:dyDescent="0.25">
      <c r="A91" s="228" t="s">
        <v>241</v>
      </c>
      <c r="B91" s="229" t="s">
        <v>242</v>
      </c>
      <c r="C91" s="222">
        <v>5</v>
      </c>
      <c r="D91" s="227">
        <v>4.9736898859512735</v>
      </c>
      <c r="E91" s="158"/>
      <c r="F91" s="223">
        <v>370.86</v>
      </c>
      <c r="G91" s="113"/>
      <c r="H91" s="323"/>
      <c r="I91" s="324"/>
      <c r="J91" s="325"/>
      <c r="K91" s="323"/>
      <c r="L91" s="323"/>
    </row>
    <row r="92" spans="1:12" ht="14.25" x14ac:dyDescent="0.2">
      <c r="A92" s="228" t="s">
        <v>243</v>
      </c>
      <c r="B92" s="230" t="s">
        <v>244</v>
      </c>
      <c r="C92" s="222">
        <v>6.2</v>
      </c>
      <c r="D92" s="227">
        <v>5.9007112305449834</v>
      </c>
      <c r="E92" s="325"/>
      <c r="F92" s="223">
        <v>421.75</v>
      </c>
      <c r="G92" s="113"/>
      <c r="H92" s="323"/>
      <c r="I92" s="326"/>
      <c r="J92" s="325"/>
      <c r="K92" s="323"/>
      <c r="L92" s="323"/>
    </row>
    <row r="93" spans="1:12" ht="15" x14ac:dyDescent="0.25">
      <c r="A93" s="230" t="s">
        <v>245</v>
      </c>
      <c r="B93" s="229" t="s">
        <v>246</v>
      </c>
      <c r="C93" s="222">
        <v>6</v>
      </c>
      <c r="D93" s="227">
        <v>5.4658287357284161</v>
      </c>
      <c r="E93" s="325"/>
      <c r="F93" s="223">
        <v>334.83</v>
      </c>
      <c r="G93" s="113"/>
      <c r="H93" s="323"/>
      <c r="I93" s="326"/>
      <c r="J93" s="325"/>
      <c r="K93" s="323"/>
      <c r="L93" s="323"/>
    </row>
    <row r="94" spans="1:12" ht="15" x14ac:dyDescent="0.25">
      <c r="A94" s="230" t="s">
        <v>247</v>
      </c>
      <c r="B94" s="229" t="s">
        <v>248</v>
      </c>
      <c r="C94" s="222">
        <v>5.4</v>
      </c>
      <c r="D94" s="227">
        <v>5.2818559487432335</v>
      </c>
      <c r="E94" s="325"/>
      <c r="F94" s="223">
        <v>472.59</v>
      </c>
      <c r="G94" s="113"/>
      <c r="H94" s="323"/>
      <c r="I94" s="326"/>
      <c r="J94" s="325"/>
      <c r="K94" s="323"/>
      <c r="L94" s="323"/>
    </row>
    <row r="95" spans="1:12" ht="15" x14ac:dyDescent="0.25">
      <c r="A95" s="230" t="s">
        <v>249</v>
      </c>
      <c r="B95" s="229" t="s">
        <v>250</v>
      </c>
      <c r="C95" s="222">
        <v>5.7</v>
      </c>
      <c r="D95" s="227">
        <v>5.6846371651757384</v>
      </c>
      <c r="E95" s="325"/>
      <c r="F95" s="223">
        <v>442.17</v>
      </c>
      <c r="G95" s="113"/>
      <c r="H95" s="323"/>
      <c r="I95" s="326"/>
      <c r="J95" s="325"/>
      <c r="K95" s="323"/>
      <c r="L95" s="323"/>
    </row>
    <row r="96" spans="1:12" ht="15" x14ac:dyDescent="0.25">
      <c r="A96" s="230" t="s">
        <v>251</v>
      </c>
      <c r="B96" s="229" t="s">
        <v>252</v>
      </c>
      <c r="C96" s="222">
        <v>6.99</v>
      </c>
      <c r="D96" s="227">
        <v>5.9025931074786042</v>
      </c>
      <c r="E96" s="325"/>
      <c r="F96" s="223">
        <v>486.62</v>
      </c>
      <c r="G96" s="113"/>
      <c r="H96" s="323"/>
      <c r="I96" s="326"/>
      <c r="J96" s="325"/>
      <c r="K96" s="323"/>
      <c r="L96" s="323"/>
    </row>
    <row r="97" spans="1:12" ht="15" x14ac:dyDescent="0.25">
      <c r="A97" s="230" t="s">
        <v>253</v>
      </c>
      <c r="B97" s="229" t="s">
        <v>254</v>
      </c>
      <c r="C97" s="222">
        <v>6.76</v>
      </c>
      <c r="D97" s="227">
        <v>6.5536527637738811</v>
      </c>
      <c r="E97" s="325"/>
      <c r="F97" s="223">
        <v>500.64</v>
      </c>
      <c r="G97" s="113"/>
      <c r="H97" s="323"/>
      <c r="I97" s="326"/>
      <c r="J97" s="325"/>
      <c r="K97" s="323"/>
      <c r="L97" s="323"/>
    </row>
    <row r="98" spans="1:12" ht="15" x14ac:dyDescent="0.25">
      <c r="A98" s="230" t="s">
        <v>255</v>
      </c>
      <c r="B98" s="229" t="s">
        <v>256</v>
      </c>
      <c r="C98" s="222">
        <v>6.3</v>
      </c>
      <c r="D98" s="227">
        <v>6.0885972763014742</v>
      </c>
      <c r="E98" s="325"/>
      <c r="F98" s="223">
        <v>530.66999999999996</v>
      </c>
      <c r="G98" s="113"/>
      <c r="H98" s="323"/>
      <c r="I98" s="326"/>
      <c r="J98" s="325"/>
      <c r="K98" s="323"/>
      <c r="L98" s="323"/>
    </row>
    <row r="99" spans="1:12" ht="15" x14ac:dyDescent="0.25">
      <c r="A99" s="230" t="s">
        <v>257</v>
      </c>
      <c r="B99" s="229" t="s">
        <v>258</v>
      </c>
      <c r="C99" s="222">
        <v>6.11</v>
      </c>
      <c r="D99" s="227">
        <v>5.7416820937019502</v>
      </c>
      <c r="E99" s="325"/>
      <c r="F99" s="223">
        <v>551.49</v>
      </c>
      <c r="G99" s="113"/>
      <c r="H99" s="323"/>
      <c r="I99" s="326"/>
      <c r="J99" s="325"/>
      <c r="K99" s="323"/>
      <c r="L99" s="323"/>
    </row>
    <row r="100" spans="1:12" ht="15" x14ac:dyDescent="0.25">
      <c r="A100" s="230" t="s">
        <v>259</v>
      </c>
      <c r="B100" s="229" t="s">
        <v>260</v>
      </c>
      <c r="C100" s="222">
        <v>6</v>
      </c>
      <c r="D100" s="227">
        <v>6.1446688124456585</v>
      </c>
      <c r="E100" s="325"/>
      <c r="F100" s="223">
        <v>556.66999999999996</v>
      </c>
      <c r="G100" s="113"/>
      <c r="H100" s="323"/>
      <c r="I100" s="326"/>
      <c r="J100" s="325"/>
      <c r="K100" s="323"/>
      <c r="L100" s="323"/>
    </row>
    <row r="101" spans="1:12" ht="15" x14ac:dyDescent="0.25">
      <c r="A101" s="230" t="s">
        <v>261</v>
      </c>
      <c r="B101" s="229" t="s">
        <v>262</v>
      </c>
      <c r="C101" s="222">
        <v>7.73</v>
      </c>
      <c r="D101" s="321">
        <v>7.73</v>
      </c>
      <c r="E101" s="158"/>
      <c r="F101" s="223">
        <v>550.92999999999995</v>
      </c>
      <c r="G101" s="113"/>
      <c r="H101" s="323"/>
      <c r="I101" s="326"/>
      <c r="J101" s="323"/>
      <c r="K101" s="323"/>
      <c r="L101" s="323"/>
    </row>
    <row r="102" spans="1:12" ht="15" x14ac:dyDescent="0.25">
      <c r="A102" s="230" t="s">
        <v>263</v>
      </c>
      <c r="B102" s="229" t="s">
        <v>264</v>
      </c>
      <c r="C102" s="222">
        <v>9.15</v>
      </c>
      <c r="D102" s="227">
        <v>7.6522196895514387</v>
      </c>
      <c r="E102" s="325"/>
      <c r="F102" s="223">
        <v>687.64</v>
      </c>
      <c r="G102" s="113"/>
      <c r="H102" s="323"/>
      <c r="I102" s="326"/>
      <c r="J102" s="325"/>
      <c r="K102" s="323"/>
      <c r="L102" s="323"/>
    </row>
    <row r="103" spans="1:12" ht="14.25" x14ac:dyDescent="0.2">
      <c r="A103" s="230" t="s">
        <v>265</v>
      </c>
      <c r="B103" s="230" t="s">
        <v>266</v>
      </c>
      <c r="C103" s="222">
        <v>9.34</v>
      </c>
      <c r="D103" s="227">
        <v>7.0185743831184055</v>
      </c>
      <c r="E103" s="325"/>
      <c r="F103" s="223">
        <v>706.14</v>
      </c>
      <c r="G103" s="113"/>
      <c r="H103" s="323"/>
      <c r="I103" s="326"/>
      <c r="J103" s="325"/>
      <c r="K103" s="323"/>
      <c r="L103" s="323"/>
    </row>
    <row r="104" spans="1:12" ht="15" x14ac:dyDescent="0.25">
      <c r="A104" s="230" t="s">
        <v>267</v>
      </c>
      <c r="B104" s="229" t="s">
        <v>268</v>
      </c>
      <c r="C104" s="222">
        <v>9.3000000000000007</v>
      </c>
      <c r="D104" s="227">
        <v>7.9694470418230452</v>
      </c>
      <c r="E104" s="325"/>
      <c r="F104" s="223">
        <v>653.72</v>
      </c>
      <c r="G104" s="113"/>
      <c r="H104" s="323"/>
      <c r="I104" s="326"/>
      <c r="J104" s="325"/>
      <c r="K104" s="323"/>
      <c r="L104" s="323"/>
    </row>
    <row r="105" spans="1:12" ht="14.25" x14ac:dyDescent="0.2">
      <c r="A105" s="230" t="s">
        <v>269</v>
      </c>
      <c r="B105" s="230" t="s">
        <v>270</v>
      </c>
      <c r="C105" s="222">
        <v>9.3000000000000007</v>
      </c>
      <c r="D105" s="227">
        <v>7.8526304459674634</v>
      </c>
      <c r="E105" s="325"/>
      <c r="F105" s="223">
        <v>653.72</v>
      </c>
      <c r="G105" s="113"/>
      <c r="H105" s="323"/>
      <c r="I105" s="326"/>
      <c r="J105" s="325"/>
      <c r="K105" s="323"/>
      <c r="L105" s="323"/>
    </row>
    <row r="106" spans="1:12" ht="15" x14ac:dyDescent="0.25">
      <c r="A106" s="230" t="s">
        <v>271</v>
      </c>
      <c r="B106" s="229" t="s">
        <v>272</v>
      </c>
      <c r="C106" s="222">
        <v>8</v>
      </c>
      <c r="D106" s="227">
        <v>6.8967249049073143</v>
      </c>
      <c r="E106" s="325"/>
      <c r="F106" s="223">
        <v>380.95</v>
      </c>
      <c r="G106" s="113"/>
      <c r="H106" s="323"/>
      <c r="I106" s="326"/>
      <c r="J106" s="325"/>
      <c r="K106" s="323"/>
      <c r="L106" s="323"/>
    </row>
    <row r="107" spans="1:12" ht="15" x14ac:dyDescent="0.25">
      <c r="A107" s="230" t="s">
        <v>273</v>
      </c>
      <c r="B107" s="229" t="s">
        <v>274</v>
      </c>
      <c r="C107" s="222">
        <v>5.5</v>
      </c>
      <c r="D107" s="227">
        <v>4.6240249316903501</v>
      </c>
      <c r="E107" s="325"/>
      <c r="F107" s="223">
        <v>427.8</v>
      </c>
      <c r="G107" s="113"/>
      <c r="H107" s="323"/>
      <c r="I107" s="326"/>
      <c r="J107" s="325"/>
      <c r="K107" s="323"/>
      <c r="L107" s="323"/>
    </row>
    <row r="108" spans="1:12" ht="15" x14ac:dyDescent="0.25">
      <c r="A108" s="230" t="s">
        <v>275</v>
      </c>
      <c r="B108" s="229" t="s">
        <v>276</v>
      </c>
      <c r="C108" s="222">
        <v>5.5</v>
      </c>
      <c r="D108" s="227">
        <v>4.5979297798553667</v>
      </c>
      <c r="E108" s="325"/>
      <c r="F108" s="223">
        <v>427.8</v>
      </c>
      <c r="G108" s="113"/>
      <c r="H108" s="323"/>
      <c r="I108" s="326"/>
      <c r="J108" s="325"/>
      <c r="K108" s="323"/>
      <c r="L108" s="323"/>
    </row>
    <row r="109" spans="1:12" ht="15" x14ac:dyDescent="0.25">
      <c r="A109" s="230" t="s">
        <v>277</v>
      </c>
      <c r="B109" s="229" t="s">
        <v>278</v>
      </c>
      <c r="C109" s="222">
        <v>5.28</v>
      </c>
      <c r="D109" s="227">
        <v>4.5087831750297358</v>
      </c>
      <c r="E109" s="325"/>
      <c r="F109" s="223">
        <v>409.7</v>
      </c>
      <c r="G109" s="113"/>
      <c r="H109" s="323"/>
      <c r="I109" s="326"/>
      <c r="J109" s="325"/>
      <c r="K109" s="323"/>
      <c r="L109" s="323"/>
    </row>
    <row r="110" spans="1:12" ht="15" x14ac:dyDescent="0.25">
      <c r="A110" s="230" t="s">
        <v>279</v>
      </c>
      <c r="B110" s="229" t="s">
        <v>280</v>
      </c>
      <c r="C110" s="222">
        <v>5.28</v>
      </c>
      <c r="D110" s="227">
        <v>4.5357220812226782</v>
      </c>
      <c r="E110" s="325"/>
      <c r="F110" s="223">
        <v>409.7</v>
      </c>
      <c r="G110" s="113"/>
      <c r="H110" s="323"/>
      <c r="I110" s="326"/>
      <c r="J110" s="325"/>
      <c r="K110" s="323"/>
      <c r="L110" s="323"/>
    </row>
    <row r="111" spans="1:12" ht="15" x14ac:dyDescent="0.25">
      <c r="A111" s="230" t="s">
        <v>281</v>
      </c>
      <c r="B111" s="229" t="s">
        <v>282</v>
      </c>
      <c r="C111" s="222">
        <v>7.62</v>
      </c>
      <c r="D111" s="227">
        <v>7.3521597441878779</v>
      </c>
      <c r="E111" s="325"/>
      <c r="F111" s="223">
        <v>540.76</v>
      </c>
      <c r="G111" s="113"/>
      <c r="H111" s="323"/>
      <c r="I111" s="326"/>
      <c r="J111" s="325"/>
      <c r="K111" s="323"/>
      <c r="L111" s="323"/>
    </row>
    <row r="112" spans="1:12" ht="14.25" x14ac:dyDescent="0.2">
      <c r="A112" s="230" t="s">
        <v>283</v>
      </c>
      <c r="B112" s="230" t="s">
        <v>284</v>
      </c>
      <c r="C112" s="222">
        <v>4.45</v>
      </c>
      <c r="D112" s="322">
        <v>4.45</v>
      </c>
      <c r="E112" s="158"/>
      <c r="F112" s="223">
        <v>728.69</v>
      </c>
      <c r="G112" s="113"/>
      <c r="H112" s="323"/>
      <c r="I112" s="323"/>
      <c r="J112" s="323"/>
      <c r="K112" s="323"/>
      <c r="L112" s="323"/>
    </row>
    <row r="113" spans="1:12" x14ac:dyDescent="0.2">
      <c r="B113" s="89"/>
      <c r="C113" s="90"/>
      <c r="D113" s="88"/>
      <c r="E113" s="158"/>
      <c r="F113" s="2"/>
      <c r="G113" s="113"/>
      <c r="H113" s="323"/>
      <c r="I113" s="323"/>
      <c r="J113" s="323"/>
      <c r="K113" s="323"/>
      <c r="L113" s="323"/>
    </row>
    <row r="114" spans="1:12" s="224" customFormat="1" ht="14.25" x14ac:dyDescent="0.2">
      <c r="A114" s="230" t="s">
        <v>292</v>
      </c>
      <c r="B114" s="221" t="s">
        <v>295</v>
      </c>
      <c r="C114" s="222">
        <v>5.07</v>
      </c>
      <c r="D114" s="227">
        <v>4.58</v>
      </c>
      <c r="E114" s="218"/>
      <c r="F114" s="223">
        <v>641.70000000000005</v>
      </c>
      <c r="G114" s="231"/>
      <c r="H114" s="327"/>
      <c r="I114" s="327"/>
      <c r="J114" s="327"/>
      <c r="K114" s="327"/>
      <c r="L114" s="327"/>
    </row>
    <row r="115" spans="1:12" s="224" customFormat="1" ht="14.25" x14ac:dyDescent="0.2">
      <c r="A115" s="230" t="s">
        <v>293</v>
      </c>
      <c r="B115" s="221" t="s">
        <v>296</v>
      </c>
      <c r="C115" s="222">
        <v>5.12</v>
      </c>
      <c r="D115" s="227">
        <v>4.96</v>
      </c>
      <c r="E115" s="218"/>
      <c r="F115" s="223">
        <v>641.70000000000005</v>
      </c>
      <c r="G115" s="231"/>
    </row>
    <row r="116" spans="1:12" s="224" customFormat="1" ht="14.25" x14ac:dyDescent="0.2">
      <c r="A116" s="230" t="s">
        <v>294</v>
      </c>
      <c r="B116" s="221" t="s">
        <v>297</v>
      </c>
      <c r="C116" s="222">
        <v>5.47</v>
      </c>
      <c r="D116" s="227">
        <v>5.3</v>
      </c>
      <c r="E116" s="218"/>
      <c r="F116" s="223">
        <v>641.70000000000005</v>
      </c>
      <c r="G116" s="231"/>
    </row>
    <row r="117" spans="1:12" x14ac:dyDescent="0.2">
      <c r="B117" s="89"/>
      <c r="C117" s="90"/>
      <c r="D117" s="88"/>
      <c r="E117" s="88"/>
      <c r="F117" s="2"/>
      <c r="G117" s="113"/>
    </row>
    <row r="118" spans="1:12" x14ac:dyDescent="0.2">
      <c r="B118" s="89"/>
      <c r="C118" s="90"/>
      <c r="D118" s="88"/>
      <c r="E118" s="88"/>
      <c r="F118" s="2"/>
      <c r="G118" s="113"/>
    </row>
    <row r="119" spans="1:12" x14ac:dyDescent="0.2">
      <c r="B119" s="89"/>
      <c r="C119" s="90"/>
      <c r="D119" s="88"/>
      <c r="E119" s="88"/>
      <c r="F119" s="2"/>
      <c r="G119" s="113"/>
    </row>
    <row r="120" spans="1:12" x14ac:dyDescent="0.2">
      <c r="B120" s="89"/>
      <c r="C120" s="90"/>
      <c r="D120" s="88"/>
      <c r="E120" s="88"/>
      <c r="F120" s="2"/>
      <c r="G120" s="113"/>
    </row>
    <row r="121" spans="1:12" x14ac:dyDescent="0.2">
      <c r="B121" s="89"/>
      <c r="C121" s="90"/>
      <c r="D121" s="88"/>
      <c r="E121" s="88"/>
      <c r="F121" s="2"/>
      <c r="G121" s="113"/>
    </row>
    <row r="122" spans="1:12" x14ac:dyDescent="0.2">
      <c r="B122" s="89"/>
      <c r="C122" s="90"/>
      <c r="D122" s="88"/>
      <c r="E122" s="88"/>
      <c r="F122" s="2"/>
      <c r="G122" s="113"/>
    </row>
    <row r="123" spans="1:12" x14ac:dyDescent="0.2">
      <c r="B123" s="89"/>
      <c r="C123" s="90"/>
      <c r="D123" s="88"/>
      <c r="E123" s="88"/>
      <c r="F123" s="2"/>
      <c r="G123" s="113"/>
    </row>
    <row r="124" spans="1:12" x14ac:dyDescent="0.2">
      <c r="B124" s="89"/>
      <c r="C124" s="90"/>
      <c r="D124" s="88"/>
      <c r="E124" s="88"/>
      <c r="F124" s="2"/>
      <c r="G124" s="113"/>
    </row>
    <row r="125" spans="1:12" x14ac:dyDescent="0.2">
      <c r="B125" s="89"/>
      <c r="C125" s="90"/>
      <c r="D125" s="88"/>
      <c r="E125" s="88"/>
      <c r="F125" s="2"/>
      <c r="G125" s="113"/>
    </row>
    <row r="126" spans="1:12" x14ac:dyDescent="0.2">
      <c r="B126" s="89"/>
      <c r="C126" s="90"/>
      <c r="D126" s="88"/>
      <c r="E126" s="88"/>
      <c r="F126" s="2"/>
      <c r="G126" s="113"/>
    </row>
    <row r="127" spans="1:12" x14ac:dyDescent="0.2">
      <c r="B127" s="89"/>
      <c r="C127" s="90"/>
      <c r="D127" s="88"/>
      <c r="E127" s="88"/>
      <c r="F127" s="2"/>
      <c r="G127" s="113"/>
    </row>
    <row r="128" spans="1:12" x14ac:dyDescent="0.2">
      <c r="B128" s="89"/>
      <c r="C128" s="90"/>
      <c r="D128" s="88"/>
      <c r="E128" s="88"/>
      <c r="F128" s="2"/>
      <c r="G128" s="113"/>
    </row>
    <row r="129" spans="2:7" x14ac:dyDescent="0.2">
      <c r="B129" s="89"/>
      <c r="C129" s="90"/>
      <c r="D129" s="88"/>
      <c r="E129" s="88"/>
      <c r="F129" s="2"/>
      <c r="G129" s="113"/>
    </row>
    <row r="130" spans="2:7" x14ac:dyDescent="0.2">
      <c r="B130" s="89"/>
      <c r="C130" s="90"/>
      <c r="D130" s="88"/>
      <c r="E130" s="88"/>
      <c r="F130" s="2"/>
      <c r="G130" s="113"/>
    </row>
    <row r="131" spans="2:7" x14ac:dyDescent="0.2">
      <c r="B131" s="89"/>
      <c r="C131" s="90"/>
      <c r="D131" s="88"/>
      <c r="E131" s="88"/>
      <c r="F131" s="2"/>
      <c r="G131" s="113"/>
    </row>
    <row r="132" spans="2:7" x14ac:dyDescent="0.2">
      <c r="B132" s="89"/>
      <c r="C132" s="90"/>
      <c r="D132" s="88"/>
      <c r="E132" s="88"/>
      <c r="F132" s="2"/>
      <c r="G132" s="113"/>
    </row>
    <row r="133" spans="2:7" x14ac:dyDescent="0.2">
      <c r="B133" s="89"/>
      <c r="C133" s="90"/>
      <c r="D133" s="88"/>
      <c r="E133" s="88"/>
      <c r="F133" s="2"/>
      <c r="G133" s="113"/>
    </row>
    <row r="134" spans="2:7" x14ac:dyDescent="0.2">
      <c r="B134" s="89"/>
      <c r="C134" s="90"/>
      <c r="D134" s="88"/>
      <c r="E134" s="88"/>
      <c r="F134" s="2"/>
      <c r="G134" s="113"/>
    </row>
    <row r="135" spans="2:7" x14ac:dyDescent="0.2">
      <c r="B135" s="89"/>
      <c r="C135" s="90"/>
      <c r="D135" s="88"/>
      <c r="E135" s="88"/>
      <c r="F135" s="2"/>
      <c r="G135" s="113"/>
    </row>
    <row r="136" spans="2:7" x14ac:dyDescent="0.2">
      <c r="B136" s="89"/>
      <c r="C136" s="90"/>
      <c r="D136" s="88"/>
      <c r="E136" s="88"/>
      <c r="F136" s="2"/>
      <c r="G136" s="113"/>
    </row>
    <row r="137" spans="2:7" x14ac:dyDescent="0.2">
      <c r="B137" s="89"/>
      <c r="C137" s="90"/>
      <c r="D137" s="88"/>
      <c r="E137" s="88"/>
      <c r="F137" s="2"/>
      <c r="G137" s="113"/>
    </row>
    <row r="138" spans="2:7" x14ac:dyDescent="0.2">
      <c r="B138" s="89"/>
      <c r="C138" s="90"/>
      <c r="D138" s="88"/>
      <c r="E138" s="88"/>
      <c r="F138" s="2"/>
      <c r="G138" s="113"/>
    </row>
    <row r="139" spans="2:7" x14ac:dyDescent="0.2">
      <c r="B139" s="89"/>
      <c r="C139" s="90"/>
      <c r="D139" s="88"/>
      <c r="E139" s="88"/>
      <c r="F139" s="2"/>
      <c r="G139" s="113"/>
    </row>
    <row r="140" spans="2:7" x14ac:dyDescent="0.2">
      <c r="B140" s="89"/>
      <c r="C140" s="90"/>
      <c r="D140" s="88"/>
      <c r="E140" s="88"/>
      <c r="F140" s="2"/>
      <c r="G140" s="113"/>
    </row>
    <row r="141" spans="2:7" x14ac:dyDescent="0.2">
      <c r="B141" s="89"/>
      <c r="C141" s="90"/>
      <c r="D141" s="88"/>
      <c r="E141" s="88"/>
      <c r="F141" s="2"/>
      <c r="G141" s="113"/>
    </row>
    <row r="142" spans="2:7" x14ac:dyDescent="0.2">
      <c r="B142" s="89"/>
      <c r="C142" s="90"/>
      <c r="D142" s="88"/>
      <c r="E142" s="88"/>
      <c r="F142" s="2"/>
      <c r="G142" s="113"/>
    </row>
    <row r="143" spans="2:7" x14ac:dyDescent="0.2">
      <c r="B143" s="89"/>
      <c r="C143" s="90"/>
      <c r="D143" s="88"/>
      <c r="E143" s="88"/>
      <c r="F143" s="2"/>
      <c r="G143" s="113"/>
    </row>
    <row r="144" spans="2:7" x14ac:dyDescent="0.2">
      <c r="B144" s="89"/>
      <c r="C144" s="90"/>
      <c r="D144" s="88"/>
      <c r="E144" s="88"/>
      <c r="F144" s="2"/>
      <c r="G144" s="113"/>
    </row>
    <row r="145" spans="2:7" x14ac:dyDescent="0.2">
      <c r="B145" s="89"/>
      <c r="C145" s="90"/>
      <c r="D145" s="88"/>
      <c r="E145" s="88"/>
      <c r="F145" s="2"/>
      <c r="G145" s="113"/>
    </row>
    <row r="146" spans="2:7" x14ac:dyDescent="0.2">
      <c r="B146" s="89"/>
      <c r="C146" s="90"/>
      <c r="D146" s="88"/>
      <c r="E146" s="88"/>
      <c r="F146" s="2"/>
      <c r="G146" s="113"/>
    </row>
    <row r="147" spans="2:7" x14ac:dyDescent="0.2">
      <c r="B147" s="89"/>
      <c r="C147" s="90"/>
      <c r="D147" s="88"/>
      <c r="E147" s="88"/>
      <c r="F147" s="2"/>
      <c r="G147" s="113"/>
    </row>
    <row r="148" spans="2:7" x14ac:dyDescent="0.2">
      <c r="B148" s="89"/>
      <c r="C148" s="90"/>
      <c r="D148" s="88"/>
      <c r="E148" s="88"/>
      <c r="F148" s="2"/>
      <c r="G148" s="113"/>
    </row>
    <row r="149" spans="2:7" x14ac:dyDescent="0.2">
      <c r="B149" s="89"/>
      <c r="C149" s="90"/>
      <c r="D149" s="88"/>
      <c r="E149" s="88"/>
      <c r="F149" s="2"/>
      <c r="G149" s="113"/>
    </row>
    <row r="150" spans="2:7" x14ac:dyDescent="0.2">
      <c r="B150" s="89"/>
      <c r="C150" s="90"/>
      <c r="D150" s="88"/>
      <c r="E150" s="88"/>
      <c r="F150" s="2"/>
      <c r="G150" s="113"/>
    </row>
    <row r="151" spans="2:7" x14ac:dyDescent="0.2">
      <c r="B151" s="89"/>
      <c r="C151" s="90"/>
      <c r="D151" s="88"/>
      <c r="E151" s="88"/>
      <c r="F151" s="2"/>
      <c r="G151" s="113"/>
    </row>
    <row r="152" spans="2:7" x14ac:dyDescent="0.2">
      <c r="B152" s="89"/>
      <c r="C152" s="90"/>
      <c r="D152" s="88"/>
      <c r="E152" s="88"/>
      <c r="F152" s="2"/>
      <c r="G152" s="113"/>
    </row>
    <row r="153" spans="2:7" x14ac:dyDescent="0.2">
      <c r="B153" s="89"/>
      <c r="C153" s="90"/>
      <c r="D153" s="88"/>
      <c r="E153" s="88"/>
      <c r="F153" s="2"/>
      <c r="G153" s="113"/>
    </row>
    <row r="154" spans="2:7" x14ac:dyDescent="0.2">
      <c r="B154" s="89"/>
      <c r="C154" s="90"/>
      <c r="D154" s="88"/>
      <c r="E154" s="88"/>
      <c r="F154" s="2"/>
      <c r="G154" s="113"/>
    </row>
    <row r="155" spans="2:7" x14ac:dyDescent="0.2">
      <c r="B155" s="89"/>
      <c r="C155" s="90"/>
      <c r="D155" s="88"/>
      <c r="E155" s="88"/>
      <c r="F155" s="2"/>
      <c r="G155" s="113"/>
    </row>
    <row r="156" spans="2:7" x14ac:dyDescent="0.2">
      <c r="B156" s="89"/>
      <c r="C156" s="90"/>
      <c r="D156" s="88"/>
      <c r="E156" s="88"/>
      <c r="F156" s="2"/>
      <c r="G156" s="113"/>
    </row>
    <row r="157" spans="2:7" x14ac:dyDescent="0.2">
      <c r="B157" s="89"/>
      <c r="C157" s="90"/>
      <c r="D157" s="88"/>
      <c r="E157" s="88"/>
      <c r="F157" s="2"/>
      <c r="G157" s="113"/>
    </row>
    <row r="158" spans="2:7" x14ac:dyDescent="0.2">
      <c r="B158" s="89"/>
      <c r="C158" s="90"/>
      <c r="D158" s="88"/>
      <c r="E158" s="88"/>
      <c r="F158" s="2"/>
      <c r="G158" s="113"/>
    </row>
    <row r="159" spans="2:7" x14ac:dyDescent="0.2">
      <c r="B159" s="89"/>
      <c r="C159" s="90"/>
      <c r="D159" s="88"/>
      <c r="E159" s="88"/>
      <c r="F159" s="2"/>
      <c r="G159" s="113"/>
    </row>
    <row r="160" spans="2:7" x14ac:dyDescent="0.2">
      <c r="B160" s="89"/>
      <c r="C160" s="90"/>
      <c r="D160" s="88"/>
      <c r="E160" s="88"/>
      <c r="F160" s="2"/>
      <c r="G160" s="113"/>
    </row>
    <row r="161" spans="2:7" x14ac:dyDescent="0.2">
      <c r="B161" s="89"/>
      <c r="C161" s="90"/>
      <c r="D161" s="88"/>
      <c r="E161" s="88"/>
      <c r="F161" s="2"/>
      <c r="G161" s="113"/>
    </row>
    <row r="162" spans="2:7" x14ac:dyDescent="0.2">
      <c r="B162" s="89"/>
      <c r="C162" s="90"/>
      <c r="D162" s="88"/>
      <c r="E162" s="88"/>
      <c r="F162" s="2"/>
      <c r="G162" s="113"/>
    </row>
    <row r="163" spans="2:7" x14ac:dyDescent="0.2">
      <c r="B163" s="89"/>
      <c r="C163" s="90"/>
      <c r="D163" s="88"/>
      <c r="E163" s="88"/>
      <c r="F163" s="2"/>
      <c r="G163" s="113"/>
    </row>
    <row r="164" spans="2:7" x14ac:dyDescent="0.2">
      <c r="B164" s="89"/>
      <c r="C164" s="90"/>
      <c r="D164" s="88"/>
      <c r="E164" s="88"/>
      <c r="F164" s="2"/>
      <c r="G164" s="113"/>
    </row>
    <row r="165" spans="2:7" x14ac:dyDescent="0.2">
      <c r="B165" s="89"/>
      <c r="C165" s="90"/>
      <c r="D165" s="88"/>
      <c r="E165" s="88"/>
      <c r="F165" s="2"/>
      <c r="G165" s="113"/>
    </row>
    <row r="166" spans="2:7" x14ac:dyDescent="0.2">
      <c r="B166" s="89"/>
      <c r="C166" s="90"/>
      <c r="D166" s="88"/>
      <c r="E166" s="88"/>
      <c r="F166" s="2"/>
      <c r="G166" s="113"/>
    </row>
    <row r="167" spans="2:7" x14ac:dyDescent="0.2">
      <c r="B167" s="89"/>
      <c r="C167" s="90"/>
      <c r="D167" s="88"/>
      <c r="E167" s="88"/>
      <c r="F167" s="2"/>
      <c r="G167" s="113"/>
    </row>
    <row r="168" spans="2:7" x14ac:dyDescent="0.2">
      <c r="B168" s="89"/>
      <c r="C168" s="90"/>
      <c r="D168" s="88"/>
      <c r="E168" s="88"/>
      <c r="F168" s="2"/>
      <c r="G168" s="113"/>
    </row>
    <row r="169" spans="2:7" x14ac:dyDescent="0.2">
      <c r="B169" s="89"/>
      <c r="C169" s="90"/>
      <c r="D169" s="88"/>
      <c r="E169" s="88"/>
      <c r="F169" s="2"/>
      <c r="G169" s="113"/>
    </row>
    <row r="170" spans="2:7" x14ac:dyDescent="0.2">
      <c r="B170" s="89"/>
      <c r="C170" s="90"/>
      <c r="D170" s="88"/>
      <c r="E170" s="88"/>
      <c r="F170" s="2"/>
      <c r="G170" s="113"/>
    </row>
    <row r="171" spans="2:7" x14ac:dyDescent="0.2">
      <c r="B171" s="89"/>
      <c r="C171" s="90"/>
      <c r="D171" s="88"/>
      <c r="E171" s="88"/>
      <c r="F171" s="2"/>
      <c r="G171" s="113"/>
    </row>
    <row r="172" spans="2:7" x14ac:dyDescent="0.2">
      <c r="B172" s="89"/>
      <c r="C172" s="90"/>
      <c r="D172" s="88"/>
      <c r="E172" s="88"/>
      <c r="F172" s="2"/>
      <c r="G172" s="113"/>
    </row>
    <row r="173" spans="2:7" x14ac:dyDescent="0.2">
      <c r="B173" s="89"/>
      <c r="C173" s="90"/>
      <c r="D173" s="88"/>
      <c r="E173" s="88"/>
      <c r="F173" s="2"/>
      <c r="G173" s="113"/>
    </row>
    <row r="174" spans="2:7" x14ac:dyDescent="0.2">
      <c r="B174" s="89"/>
      <c r="C174" s="90"/>
      <c r="D174" s="88"/>
      <c r="E174" s="88"/>
      <c r="F174" s="2"/>
      <c r="G174" s="113"/>
    </row>
    <row r="175" spans="2:7" x14ac:dyDescent="0.2">
      <c r="B175" s="89"/>
      <c r="C175" s="90"/>
      <c r="D175" s="88"/>
      <c r="E175" s="88"/>
      <c r="F175" s="2"/>
      <c r="G175" s="113"/>
    </row>
    <row r="176" spans="2:7" x14ac:dyDescent="0.2">
      <c r="B176" s="89"/>
      <c r="C176" s="90"/>
      <c r="D176" s="88"/>
      <c r="E176" s="88"/>
      <c r="F176" s="2"/>
      <c r="G176" s="113"/>
    </row>
    <row r="177" spans="2:7" x14ac:dyDescent="0.2">
      <c r="B177" s="89"/>
      <c r="C177" s="90"/>
      <c r="D177" s="88"/>
      <c r="E177" s="88"/>
      <c r="F177" s="2"/>
      <c r="G177" s="113"/>
    </row>
    <row r="178" spans="2:7" x14ac:dyDescent="0.2">
      <c r="B178" s="89"/>
      <c r="C178" s="90"/>
      <c r="D178" s="88"/>
      <c r="E178" s="88"/>
      <c r="F178" s="2"/>
      <c r="G178" s="113"/>
    </row>
    <row r="179" spans="2:7" x14ac:dyDescent="0.2">
      <c r="B179" s="89"/>
      <c r="C179" s="90"/>
      <c r="D179" s="88"/>
      <c r="E179" s="88"/>
      <c r="F179" s="2"/>
      <c r="G179" s="113"/>
    </row>
    <row r="180" spans="2:7" x14ac:dyDescent="0.2">
      <c r="B180" s="89"/>
      <c r="C180" s="90"/>
      <c r="D180" s="88"/>
      <c r="E180" s="88"/>
      <c r="F180" s="2"/>
      <c r="G180" s="113"/>
    </row>
    <row r="181" spans="2:7" x14ac:dyDescent="0.2">
      <c r="B181" s="89"/>
      <c r="C181" s="90"/>
      <c r="D181" s="88"/>
      <c r="E181" s="88"/>
      <c r="F181" s="2"/>
      <c r="G181" s="113"/>
    </row>
    <row r="182" spans="2:7" x14ac:dyDescent="0.2">
      <c r="B182" s="89"/>
      <c r="C182" s="90"/>
      <c r="D182" s="88"/>
      <c r="E182" s="88"/>
      <c r="F182" s="2"/>
      <c r="G182" s="113"/>
    </row>
    <row r="183" spans="2:7" x14ac:dyDescent="0.2">
      <c r="B183" s="89"/>
      <c r="C183" s="90"/>
      <c r="D183" s="88"/>
      <c r="E183" s="88"/>
      <c r="F183" s="2"/>
      <c r="G183" s="113"/>
    </row>
    <row r="184" spans="2:7" x14ac:dyDescent="0.2">
      <c r="B184" s="89"/>
      <c r="C184" s="90"/>
      <c r="D184" s="88"/>
      <c r="E184" s="88"/>
      <c r="F184" s="2"/>
      <c r="G184" s="113"/>
    </row>
    <row r="185" spans="2:7" x14ac:dyDescent="0.2">
      <c r="B185" s="89"/>
      <c r="C185" s="90"/>
      <c r="D185" s="88"/>
      <c r="E185" s="88"/>
      <c r="F185" s="2"/>
      <c r="G185" s="113"/>
    </row>
    <row r="186" spans="2:7" x14ac:dyDescent="0.2">
      <c r="B186" s="89"/>
      <c r="C186" s="90"/>
      <c r="D186" s="88"/>
      <c r="E186" s="88"/>
      <c r="F186" s="2"/>
      <c r="G186" s="113"/>
    </row>
    <row r="187" spans="2:7" x14ac:dyDescent="0.2">
      <c r="B187" s="89"/>
      <c r="C187" s="90"/>
      <c r="D187" s="88"/>
      <c r="E187" s="88"/>
      <c r="F187" s="2"/>
      <c r="G187" s="113"/>
    </row>
    <row r="188" spans="2:7" x14ac:dyDescent="0.2">
      <c r="B188" s="89"/>
      <c r="C188" s="90"/>
      <c r="D188" s="88"/>
      <c r="E188" s="88"/>
      <c r="F188" s="2"/>
      <c r="G188" s="113"/>
    </row>
    <row r="189" spans="2:7" x14ac:dyDescent="0.2">
      <c r="B189" s="89"/>
      <c r="C189" s="90"/>
      <c r="D189" s="88"/>
      <c r="E189" s="88"/>
      <c r="F189" s="2"/>
      <c r="G189" s="113"/>
    </row>
    <row r="190" spans="2:7" x14ac:dyDescent="0.2">
      <c r="B190" s="89"/>
      <c r="C190" s="90"/>
      <c r="D190" s="88"/>
      <c r="E190" s="88"/>
      <c r="F190" s="2"/>
      <c r="G190" s="113"/>
    </row>
    <row r="191" spans="2:7" x14ac:dyDescent="0.2">
      <c r="B191" s="89"/>
      <c r="C191" s="90"/>
      <c r="D191" s="88"/>
      <c r="E191" s="88"/>
      <c r="F191" s="2"/>
      <c r="G191" s="113"/>
    </row>
    <row r="192" spans="2:7" x14ac:dyDescent="0.2">
      <c r="B192" s="89"/>
      <c r="C192" s="90"/>
      <c r="D192" s="88"/>
      <c r="E192" s="88"/>
      <c r="F192" s="2"/>
      <c r="G192" s="113"/>
    </row>
    <row r="193" spans="2:7" x14ac:dyDescent="0.2">
      <c r="B193" s="89"/>
      <c r="C193" s="90"/>
      <c r="D193" s="88"/>
      <c r="E193" s="88"/>
      <c r="F193" s="2"/>
      <c r="G193" s="113"/>
    </row>
    <row r="194" spans="2:7" x14ac:dyDescent="0.2">
      <c r="B194" s="89"/>
      <c r="C194" s="90"/>
      <c r="D194" s="88"/>
      <c r="E194" s="88"/>
      <c r="F194" s="2"/>
      <c r="G194" s="113"/>
    </row>
    <row r="195" spans="2:7" x14ac:dyDescent="0.2">
      <c r="B195" s="89"/>
      <c r="C195" s="90"/>
      <c r="D195" s="88"/>
      <c r="E195" s="88"/>
      <c r="F195" s="2"/>
      <c r="G195" s="113"/>
    </row>
    <row r="196" spans="2:7" x14ac:dyDescent="0.2">
      <c r="B196" s="89"/>
      <c r="C196" s="90"/>
      <c r="D196" s="88"/>
      <c r="E196" s="88"/>
      <c r="F196" s="2"/>
      <c r="G196" s="113"/>
    </row>
    <row r="197" spans="2:7" x14ac:dyDescent="0.2">
      <c r="B197" s="89"/>
      <c r="C197" s="90"/>
      <c r="D197" s="88"/>
      <c r="E197" s="88"/>
      <c r="F197" s="2"/>
      <c r="G197" s="113"/>
    </row>
    <row r="198" spans="2:7" x14ac:dyDescent="0.2">
      <c r="B198" s="89"/>
      <c r="C198" s="90"/>
      <c r="D198" s="88"/>
      <c r="E198" s="88"/>
      <c r="F198" s="2"/>
      <c r="G198" s="113"/>
    </row>
    <row r="199" spans="2:7" x14ac:dyDescent="0.2">
      <c r="B199" s="89"/>
      <c r="C199" s="90"/>
      <c r="D199" s="88"/>
      <c r="E199" s="88"/>
      <c r="F199" s="2"/>
      <c r="G199" s="113"/>
    </row>
    <row r="200" spans="2:7" x14ac:dyDescent="0.2">
      <c r="B200" s="89"/>
      <c r="C200" s="90"/>
      <c r="D200" s="88"/>
      <c r="E200" s="88"/>
      <c r="F200" s="2"/>
      <c r="G200" s="113"/>
    </row>
    <row r="201" spans="2:7" x14ac:dyDescent="0.2">
      <c r="B201" s="89"/>
      <c r="C201" s="90"/>
      <c r="D201" s="88"/>
      <c r="E201" s="88"/>
      <c r="F201" s="2"/>
      <c r="G201" s="113"/>
    </row>
    <row r="202" spans="2:7" x14ac:dyDescent="0.2">
      <c r="B202" s="89"/>
      <c r="C202" s="90"/>
      <c r="D202" s="88"/>
      <c r="E202" s="88"/>
      <c r="F202" s="2"/>
      <c r="G202" s="113"/>
    </row>
    <row r="203" spans="2:7" x14ac:dyDescent="0.2">
      <c r="B203" s="89"/>
      <c r="C203" s="90"/>
      <c r="D203" s="88"/>
      <c r="E203" s="88"/>
      <c r="F203" s="2"/>
      <c r="G203" s="113"/>
    </row>
    <row r="204" spans="2:7" x14ac:dyDescent="0.2">
      <c r="B204" s="89"/>
      <c r="C204" s="90"/>
      <c r="D204" s="88"/>
      <c r="E204" s="88"/>
      <c r="F204" s="2"/>
      <c r="G204" s="113"/>
    </row>
    <row r="205" spans="2:7" x14ac:dyDescent="0.2">
      <c r="B205" s="89"/>
      <c r="C205" s="90"/>
      <c r="D205" s="88"/>
      <c r="E205" s="88"/>
      <c r="F205" s="2"/>
      <c r="G205" s="113"/>
    </row>
    <row r="206" spans="2:7" x14ac:dyDescent="0.2">
      <c r="B206" s="89"/>
      <c r="C206" s="90"/>
      <c r="D206" s="88"/>
      <c r="E206" s="88"/>
      <c r="F206" s="2"/>
      <c r="G206" s="113"/>
    </row>
    <row r="207" spans="2:7" x14ac:dyDescent="0.2">
      <c r="B207" s="89"/>
      <c r="C207" s="90"/>
      <c r="D207" s="88"/>
      <c r="E207" s="88"/>
      <c r="F207" s="2"/>
      <c r="G207" s="113"/>
    </row>
    <row r="208" spans="2:7" x14ac:dyDescent="0.2">
      <c r="B208" s="89"/>
      <c r="C208" s="90"/>
      <c r="D208" s="88"/>
      <c r="E208" s="88"/>
      <c r="F208" s="2"/>
      <c r="G208" s="113"/>
    </row>
    <row r="209" spans="2:7" x14ac:dyDescent="0.2">
      <c r="B209" s="89"/>
      <c r="C209" s="90"/>
      <c r="D209" s="88"/>
      <c r="E209" s="88"/>
      <c r="F209" s="2"/>
      <c r="G209" s="113"/>
    </row>
    <row r="210" spans="2:7" x14ac:dyDescent="0.2">
      <c r="B210" s="89"/>
      <c r="C210" s="90"/>
      <c r="D210" s="88"/>
      <c r="E210" s="88"/>
      <c r="F210" s="2"/>
      <c r="G210" s="113"/>
    </row>
    <row r="211" spans="2:7" x14ac:dyDescent="0.2">
      <c r="B211" s="89"/>
      <c r="C211" s="90"/>
      <c r="D211" s="88"/>
      <c r="E211" s="88"/>
      <c r="F211" s="2"/>
      <c r="G211" s="113"/>
    </row>
    <row r="212" spans="2:7" x14ac:dyDescent="0.2">
      <c r="B212" s="89"/>
      <c r="C212" s="90"/>
      <c r="D212" s="88"/>
      <c r="E212" s="88"/>
      <c r="F212" s="2"/>
      <c r="G212" s="113"/>
    </row>
    <row r="213" spans="2:7" x14ac:dyDescent="0.2">
      <c r="B213" s="89"/>
      <c r="C213" s="90"/>
      <c r="D213" s="88"/>
      <c r="E213" s="88"/>
      <c r="F213" s="2"/>
      <c r="G213" s="113"/>
    </row>
    <row r="214" spans="2:7" x14ac:dyDescent="0.2">
      <c r="B214" s="89"/>
      <c r="C214" s="90"/>
      <c r="D214" s="88"/>
      <c r="E214" s="88"/>
      <c r="F214" s="2"/>
      <c r="G214" s="113"/>
    </row>
    <row r="215" spans="2:7" x14ac:dyDescent="0.2">
      <c r="B215" s="89"/>
      <c r="C215" s="90"/>
      <c r="D215" s="88"/>
      <c r="E215" s="88"/>
      <c r="F215" s="2"/>
      <c r="G215" s="113"/>
    </row>
    <row r="216" spans="2:7" x14ac:dyDescent="0.2">
      <c r="B216" s="89"/>
      <c r="C216" s="90"/>
      <c r="D216" s="88"/>
      <c r="E216" s="88"/>
      <c r="F216" s="2"/>
      <c r="G216" s="113"/>
    </row>
    <row r="217" spans="2:7" x14ac:dyDescent="0.2">
      <c r="B217" s="89"/>
      <c r="C217" s="90"/>
      <c r="D217" s="88"/>
      <c r="E217" s="88"/>
      <c r="F217" s="2"/>
      <c r="G217" s="113"/>
    </row>
    <row r="218" spans="2:7" x14ac:dyDescent="0.2">
      <c r="B218" s="89"/>
      <c r="C218" s="90"/>
      <c r="D218" s="88"/>
      <c r="E218" s="88"/>
      <c r="F218" s="2"/>
      <c r="G218" s="113"/>
    </row>
    <row r="219" spans="2:7" x14ac:dyDescent="0.2">
      <c r="B219" s="89"/>
      <c r="C219" s="90"/>
      <c r="D219" s="88"/>
      <c r="E219" s="88"/>
      <c r="F219" s="2"/>
      <c r="G219" s="113"/>
    </row>
    <row r="220" spans="2:7" x14ac:dyDescent="0.2">
      <c r="B220" s="89"/>
      <c r="C220" s="90"/>
      <c r="D220" s="88"/>
      <c r="E220" s="88"/>
      <c r="F220" s="2"/>
      <c r="G220" s="113"/>
    </row>
    <row r="221" spans="2:7" x14ac:dyDescent="0.2">
      <c r="B221" s="89"/>
      <c r="C221" s="90"/>
      <c r="D221" s="88"/>
      <c r="E221" s="88"/>
      <c r="F221" s="2"/>
      <c r="G221" s="113"/>
    </row>
    <row r="222" spans="2:7" x14ac:dyDescent="0.2">
      <c r="B222" s="89"/>
      <c r="C222" s="90"/>
      <c r="D222" s="88"/>
      <c r="E222" s="88"/>
      <c r="F222" s="2"/>
      <c r="G222" s="113"/>
    </row>
    <row r="223" spans="2:7" x14ac:dyDescent="0.2">
      <c r="B223" s="89"/>
      <c r="C223" s="90"/>
      <c r="D223" s="88"/>
      <c r="E223" s="88"/>
      <c r="F223" s="2"/>
      <c r="G223" s="113"/>
    </row>
    <row r="224" spans="2:7" x14ac:dyDescent="0.2">
      <c r="B224" s="89"/>
      <c r="C224" s="90"/>
      <c r="D224" s="88"/>
      <c r="E224" s="88"/>
      <c r="F224" s="2"/>
      <c r="G224" s="113"/>
    </row>
    <row r="225" spans="2:7" x14ac:dyDescent="0.2">
      <c r="B225" s="89"/>
      <c r="C225" s="90"/>
      <c r="D225" s="88"/>
      <c r="E225" s="88"/>
      <c r="F225" s="2"/>
      <c r="G225" s="113"/>
    </row>
    <row r="226" spans="2:7" x14ac:dyDescent="0.2">
      <c r="B226" s="89"/>
      <c r="C226" s="90"/>
      <c r="D226" s="88"/>
      <c r="E226" s="88"/>
      <c r="F226" s="2"/>
      <c r="G226" s="113"/>
    </row>
    <row r="227" spans="2:7" x14ac:dyDescent="0.2">
      <c r="B227" s="89"/>
      <c r="C227" s="90"/>
      <c r="D227" s="88"/>
      <c r="E227" s="88"/>
      <c r="F227" s="2"/>
      <c r="G227" s="113"/>
    </row>
    <row r="228" spans="2:7" x14ac:dyDescent="0.2">
      <c r="B228" s="89"/>
      <c r="C228" s="90"/>
      <c r="D228" s="88"/>
      <c r="E228" s="88"/>
      <c r="F228" s="2"/>
      <c r="G228" s="113"/>
    </row>
    <row r="229" spans="2:7" x14ac:dyDescent="0.2">
      <c r="B229" s="89"/>
      <c r="C229" s="90"/>
      <c r="D229" s="88"/>
      <c r="E229" s="88"/>
      <c r="F229" s="2"/>
      <c r="G229" s="113"/>
    </row>
    <row r="230" spans="2:7" x14ac:dyDescent="0.2">
      <c r="B230" s="89"/>
      <c r="C230" s="90"/>
      <c r="D230" s="88"/>
      <c r="E230" s="88"/>
      <c r="F230" s="2"/>
      <c r="G230" s="113"/>
    </row>
    <row r="231" spans="2:7" x14ac:dyDescent="0.2">
      <c r="B231" s="89"/>
      <c r="C231" s="90"/>
      <c r="D231" s="88"/>
      <c r="E231" s="88"/>
      <c r="F231" s="2"/>
      <c r="G231" s="113"/>
    </row>
    <row r="232" spans="2:7" x14ac:dyDescent="0.2">
      <c r="B232" s="89"/>
      <c r="C232" s="90"/>
      <c r="D232" s="88"/>
      <c r="E232" s="88"/>
      <c r="F232" s="2"/>
      <c r="G232" s="113"/>
    </row>
    <row r="233" spans="2:7" x14ac:dyDescent="0.2">
      <c r="B233" s="89"/>
      <c r="C233" s="90"/>
      <c r="D233" s="88"/>
      <c r="E233" s="88"/>
      <c r="F233" s="2"/>
      <c r="G233" s="113"/>
    </row>
    <row r="234" spans="2:7" x14ac:dyDescent="0.2">
      <c r="B234" s="89"/>
      <c r="C234" s="90"/>
      <c r="D234" s="88"/>
      <c r="E234" s="88"/>
      <c r="F234" s="2"/>
      <c r="G234" s="113"/>
    </row>
    <row r="235" spans="2:7" x14ac:dyDescent="0.2">
      <c r="B235" s="89"/>
      <c r="C235" s="90"/>
      <c r="D235" s="88"/>
      <c r="E235" s="88"/>
      <c r="F235" s="2"/>
      <c r="G235" s="113"/>
    </row>
    <row r="236" spans="2:7" x14ac:dyDescent="0.2">
      <c r="B236" s="89"/>
      <c r="C236" s="90"/>
      <c r="D236" s="88"/>
      <c r="E236" s="88"/>
      <c r="F236" s="2"/>
      <c r="G236" s="113"/>
    </row>
    <row r="237" spans="2:7" x14ac:dyDescent="0.2">
      <c r="B237" s="89"/>
      <c r="C237" s="90"/>
      <c r="D237" s="88"/>
      <c r="E237" s="88"/>
      <c r="F237" s="2"/>
      <c r="G237" s="113"/>
    </row>
    <row r="238" spans="2:7" x14ac:dyDescent="0.2">
      <c r="B238" s="89"/>
      <c r="C238" s="90"/>
      <c r="D238" s="88"/>
      <c r="E238" s="88"/>
      <c r="F238" s="2"/>
      <c r="G238" s="113"/>
    </row>
    <row r="239" spans="2:7" x14ac:dyDescent="0.2">
      <c r="B239" s="89"/>
      <c r="C239" s="90"/>
      <c r="D239" s="88"/>
      <c r="E239" s="88"/>
      <c r="F239" s="2"/>
      <c r="G239" s="113"/>
    </row>
    <row r="240" spans="2:7" x14ac:dyDescent="0.2">
      <c r="B240" s="89"/>
      <c r="C240" s="90"/>
      <c r="D240" s="88"/>
      <c r="E240" s="88"/>
      <c r="F240" s="2"/>
      <c r="G240" s="113"/>
    </row>
    <row r="241" spans="2:7" x14ac:dyDescent="0.2">
      <c r="B241" s="89"/>
      <c r="C241" s="90"/>
      <c r="D241" s="88"/>
      <c r="E241" s="88"/>
      <c r="F241" s="2"/>
      <c r="G241" s="113"/>
    </row>
    <row r="242" spans="2:7" x14ac:dyDescent="0.2">
      <c r="B242" s="89"/>
      <c r="C242" s="90"/>
      <c r="D242" s="88"/>
      <c r="E242" s="88"/>
      <c r="F242" s="2"/>
      <c r="G242" s="113"/>
    </row>
    <row r="243" spans="2:7" x14ac:dyDescent="0.2">
      <c r="B243" s="89"/>
      <c r="C243" s="90"/>
      <c r="D243" s="88"/>
      <c r="E243" s="88"/>
      <c r="F243" s="2"/>
      <c r="G243" s="113"/>
    </row>
    <row r="244" spans="2:7" x14ac:dyDescent="0.2">
      <c r="B244" s="89"/>
      <c r="C244" s="90"/>
      <c r="D244" s="88"/>
      <c r="E244" s="88"/>
      <c r="F244" s="2"/>
      <c r="G244" s="113"/>
    </row>
    <row r="245" spans="2:7" x14ac:dyDescent="0.2">
      <c r="B245" s="89"/>
      <c r="C245" s="90"/>
      <c r="D245" s="88"/>
      <c r="E245" s="88"/>
      <c r="F245" s="2"/>
      <c r="G245" s="113"/>
    </row>
    <row r="246" spans="2:7" x14ac:dyDescent="0.2">
      <c r="B246" s="89"/>
      <c r="C246" s="90"/>
      <c r="D246" s="88"/>
      <c r="E246" s="88"/>
      <c r="F246" s="2"/>
      <c r="G246" s="113"/>
    </row>
    <row r="247" spans="2:7" x14ac:dyDescent="0.2">
      <c r="B247" s="89"/>
      <c r="C247" s="90"/>
      <c r="D247" s="88"/>
      <c r="E247" s="88"/>
      <c r="F247" s="2"/>
      <c r="G247" s="113"/>
    </row>
    <row r="248" spans="2:7" x14ac:dyDescent="0.2">
      <c r="B248" s="89"/>
      <c r="C248" s="90"/>
      <c r="D248" s="88"/>
      <c r="E248" s="88"/>
      <c r="F248" s="2"/>
      <c r="G248" s="113"/>
    </row>
    <row r="249" spans="2:7" x14ac:dyDescent="0.2">
      <c r="B249" s="89"/>
      <c r="C249" s="90"/>
      <c r="D249" s="88"/>
      <c r="E249" s="88"/>
      <c r="F249" s="2"/>
      <c r="G249" s="113"/>
    </row>
    <row r="250" spans="2:7" x14ac:dyDescent="0.2">
      <c r="B250" s="89"/>
      <c r="C250" s="90"/>
      <c r="D250" s="88"/>
      <c r="E250" s="88"/>
      <c r="F250" s="2"/>
      <c r="G250" s="113"/>
    </row>
    <row r="251" spans="2:7" x14ac:dyDescent="0.2">
      <c r="B251" s="89"/>
      <c r="C251" s="90"/>
      <c r="D251" s="88"/>
      <c r="E251" s="88"/>
      <c r="F251" s="2"/>
      <c r="G251" s="113"/>
    </row>
    <row r="252" spans="2:7" x14ac:dyDescent="0.2">
      <c r="B252" s="89"/>
      <c r="C252" s="90"/>
      <c r="D252" s="88"/>
      <c r="E252" s="88"/>
      <c r="F252" s="2"/>
      <c r="G252" s="113"/>
    </row>
    <row r="253" spans="2:7" x14ac:dyDescent="0.2">
      <c r="B253" s="89"/>
      <c r="C253" s="90"/>
      <c r="D253" s="88"/>
      <c r="E253" s="88"/>
      <c r="F253" s="2"/>
      <c r="G253" s="113"/>
    </row>
    <row r="254" spans="2:7" x14ac:dyDescent="0.2">
      <c r="B254" s="89"/>
      <c r="C254" s="90"/>
      <c r="D254" s="88"/>
      <c r="E254" s="88"/>
      <c r="F254" s="2"/>
      <c r="G254" s="113"/>
    </row>
    <row r="255" spans="2:7" x14ac:dyDescent="0.2">
      <c r="B255" s="89"/>
      <c r="C255" s="90"/>
      <c r="D255" s="88"/>
      <c r="E255" s="88"/>
      <c r="F255" s="2"/>
      <c r="G255" s="113"/>
    </row>
    <row r="256" spans="2:7" x14ac:dyDescent="0.2">
      <c r="B256" s="89"/>
      <c r="C256" s="90"/>
      <c r="D256" s="88"/>
      <c r="E256" s="88"/>
      <c r="F256" s="2"/>
      <c r="G256" s="113"/>
    </row>
    <row r="257" spans="2:7" x14ac:dyDescent="0.2">
      <c r="B257" s="89"/>
      <c r="C257" s="90"/>
      <c r="D257" s="88"/>
      <c r="E257" s="88"/>
      <c r="F257" s="2"/>
      <c r="G257" s="113"/>
    </row>
    <row r="258" spans="2:7" x14ac:dyDescent="0.2">
      <c r="B258" s="89"/>
      <c r="C258" s="90"/>
      <c r="D258" s="88"/>
      <c r="E258" s="88"/>
      <c r="F258" s="2"/>
      <c r="G258" s="113"/>
    </row>
    <row r="259" spans="2:7" x14ac:dyDescent="0.2">
      <c r="B259" s="89"/>
      <c r="C259" s="90"/>
      <c r="D259" s="88"/>
      <c r="E259" s="88"/>
      <c r="F259" s="2"/>
      <c r="G259" s="113"/>
    </row>
    <row r="260" spans="2:7" x14ac:dyDescent="0.2">
      <c r="B260" s="89"/>
      <c r="C260" s="90"/>
      <c r="D260" s="88"/>
      <c r="E260" s="88"/>
      <c r="F260" s="2"/>
      <c r="G260" s="113"/>
    </row>
    <row r="261" spans="2:7" x14ac:dyDescent="0.2">
      <c r="B261" s="89"/>
      <c r="C261" s="90"/>
      <c r="D261" s="88"/>
      <c r="E261" s="88"/>
      <c r="F261" s="2"/>
      <c r="G261" s="113"/>
    </row>
    <row r="262" spans="2:7" x14ac:dyDescent="0.2">
      <c r="B262" s="89"/>
      <c r="C262" s="90"/>
      <c r="D262" s="88"/>
      <c r="E262" s="88"/>
      <c r="F262" s="2"/>
      <c r="G262" s="113"/>
    </row>
    <row r="263" spans="2:7" x14ac:dyDescent="0.2">
      <c r="B263" s="89"/>
      <c r="C263" s="90"/>
      <c r="D263" s="88"/>
      <c r="E263" s="88"/>
      <c r="F263" s="2"/>
      <c r="G263" s="113"/>
    </row>
    <row r="264" spans="2:7" x14ac:dyDescent="0.2">
      <c r="B264" s="89"/>
      <c r="C264" s="90"/>
      <c r="D264" s="88"/>
      <c r="E264" s="88"/>
      <c r="F264" s="2"/>
      <c r="G264" s="113"/>
    </row>
    <row r="265" spans="2:7" x14ac:dyDescent="0.2">
      <c r="B265" s="89"/>
      <c r="C265" s="90"/>
      <c r="D265" s="88"/>
      <c r="E265" s="88"/>
      <c r="F265" s="2"/>
      <c r="G265" s="113"/>
    </row>
    <row r="266" spans="2:7" x14ac:dyDescent="0.2">
      <c r="B266" s="89"/>
      <c r="C266" s="90"/>
      <c r="D266" s="88"/>
      <c r="E266" s="88"/>
      <c r="F266" s="2"/>
      <c r="G266" s="113"/>
    </row>
    <row r="267" spans="2:7" x14ac:dyDescent="0.2">
      <c r="B267" s="89"/>
      <c r="C267" s="90"/>
      <c r="D267" s="88"/>
      <c r="E267" s="88"/>
      <c r="F267" s="2"/>
      <c r="G267" s="113"/>
    </row>
    <row r="268" spans="2:7" x14ac:dyDescent="0.2">
      <c r="B268" s="89"/>
      <c r="C268" s="90"/>
      <c r="D268" s="88"/>
      <c r="E268" s="88"/>
      <c r="F268" s="2"/>
      <c r="G268" s="113"/>
    </row>
    <row r="269" spans="2:7" x14ac:dyDescent="0.2">
      <c r="B269" s="89"/>
      <c r="C269" s="90"/>
      <c r="D269" s="88"/>
      <c r="E269" s="88"/>
      <c r="F269" s="2"/>
      <c r="G269" s="113"/>
    </row>
    <row r="270" spans="2:7" x14ac:dyDescent="0.2">
      <c r="B270" s="89"/>
      <c r="C270" s="90"/>
      <c r="D270" s="88"/>
      <c r="E270" s="88"/>
      <c r="F270" s="2"/>
      <c r="G270" s="113"/>
    </row>
    <row r="271" spans="2:7" x14ac:dyDescent="0.2">
      <c r="B271" s="89"/>
      <c r="C271" s="90"/>
      <c r="D271" s="88"/>
      <c r="E271" s="88"/>
      <c r="F271" s="2"/>
      <c r="G271" s="113"/>
    </row>
    <row r="272" spans="2:7" x14ac:dyDescent="0.2">
      <c r="B272" s="89"/>
      <c r="C272" s="90"/>
      <c r="D272" s="88"/>
      <c r="E272" s="88"/>
      <c r="F272" s="2"/>
      <c r="G272" s="113"/>
    </row>
    <row r="273" spans="2:7" x14ac:dyDescent="0.2">
      <c r="B273" s="89"/>
      <c r="C273" s="90"/>
      <c r="D273" s="88"/>
      <c r="E273" s="88"/>
      <c r="F273" s="2"/>
      <c r="G273" s="113"/>
    </row>
    <row r="274" spans="2:7" x14ac:dyDescent="0.2">
      <c r="B274" s="89"/>
      <c r="C274" s="90"/>
      <c r="D274" s="88"/>
      <c r="E274" s="88"/>
      <c r="F274" s="2"/>
      <c r="G274" s="113"/>
    </row>
    <row r="275" spans="2:7" x14ac:dyDescent="0.2">
      <c r="B275" s="89"/>
      <c r="C275" s="90"/>
      <c r="D275" s="88"/>
      <c r="E275" s="88"/>
      <c r="F275" s="2"/>
      <c r="G275" s="113"/>
    </row>
    <row r="276" spans="2:7" x14ac:dyDescent="0.2">
      <c r="B276" s="89"/>
      <c r="C276" s="90"/>
      <c r="D276" s="88"/>
      <c r="E276" s="88"/>
      <c r="F276" s="2"/>
      <c r="G276" s="113"/>
    </row>
    <row r="277" spans="2:7" x14ac:dyDescent="0.2">
      <c r="B277" s="89"/>
      <c r="C277" s="90"/>
      <c r="D277" s="88"/>
      <c r="E277" s="88"/>
      <c r="F277" s="2"/>
      <c r="G277" s="113"/>
    </row>
    <row r="278" spans="2:7" x14ac:dyDescent="0.2">
      <c r="B278" s="89"/>
      <c r="C278" s="90"/>
      <c r="D278" s="88"/>
      <c r="E278" s="88"/>
      <c r="F278" s="2"/>
      <c r="G278" s="113"/>
    </row>
    <row r="279" spans="2:7" x14ac:dyDescent="0.2">
      <c r="B279" s="89"/>
      <c r="C279" s="90"/>
      <c r="D279" s="88"/>
      <c r="E279" s="88"/>
      <c r="F279" s="2"/>
      <c r="G279" s="113"/>
    </row>
    <row r="280" spans="2:7" x14ac:dyDescent="0.2">
      <c r="B280" s="89"/>
      <c r="C280" s="90"/>
      <c r="D280" s="88"/>
      <c r="E280" s="88"/>
      <c r="F280" s="2"/>
      <c r="G280" s="113"/>
    </row>
    <row r="281" spans="2:7" x14ac:dyDescent="0.2">
      <c r="B281" s="89"/>
      <c r="C281" s="90"/>
      <c r="D281" s="88"/>
      <c r="E281" s="88"/>
      <c r="F281" s="2"/>
      <c r="G281" s="113"/>
    </row>
    <row r="282" spans="2:7" x14ac:dyDescent="0.2">
      <c r="B282" s="89"/>
      <c r="C282" s="90"/>
      <c r="D282" s="88"/>
      <c r="E282" s="88"/>
      <c r="F282" s="2"/>
      <c r="G282" s="113"/>
    </row>
    <row r="283" spans="2:7" x14ac:dyDescent="0.2">
      <c r="B283" s="89"/>
      <c r="C283" s="90"/>
      <c r="D283" s="88"/>
      <c r="E283" s="88"/>
      <c r="F283" s="2"/>
      <c r="G283" s="113"/>
    </row>
    <row r="284" spans="2:7" x14ac:dyDescent="0.2">
      <c r="B284" s="89"/>
      <c r="C284" s="90"/>
      <c r="D284" s="88"/>
      <c r="E284" s="88"/>
      <c r="F284" s="2"/>
      <c r="G284" s="113"/>
    </row>
    <row r="285" spans="2:7" x14ac:dyDescent="0.2">
      <c r="B285" s="89"/>
      <c r="C285" s="90"/>
      <c r="D285" s="88"/>
      <c r="E285" s="88"/>
      <c r="F285" s="2"/>
      <c r="G285" s="113"/>
    </row>
    <row r="286" spans="2:7" x14ac:dyDescent="0.2">
      <c r="B286" s="89"/>
      <c r="C286" s="90"/>
      <c r="D286" s="88"/>
      <c r="E286" s="88"/>
      <c r="F286" s="2"/>
      <c r="G286" s="113"/>
    </row>
    <row r="287" spans="2:7" x14ac:dyDescent="0.2">
      <c r="B287" s="89"/>
      <c r="C287" s="90"/>
      <c r="D287" s="88"/>
      <c r="E287" s="88"/>
      <c r="F287" s="2"/>
      <c r="G287" s="113"/>
    </row>
    <row r="288" spans="2:7" x14ac:dyDescent="0.2">
      <c r="B288" s="89"/>
      <c r="C288" s="90"/>
      <c r="D288" s="88"/>
      <c r="E288" s="88"/>
      <c r="F288" s="2"/>
      <c r="G288" s="113"/>
    </row>
    <row r="289" spans="2:7" x14ac:dyDescent="0.2">
      <c r="B289" s="89"/>
      <c r="C289" s="90"/>
      <c r="D289" s="88"/>
      <c r="E289" s="88"/>
      <c r="F289" s="2"/>
      <c r="G289" s="113"/>
    </row>
    <row r="290" spans="2:7" x14ac:dyDescent="0.2">
      <c r="B290" s="89"/>
      <c r="C290" s="90"/>
      <c r="D290" s="88"/>
      <c r="E290" s="88"/>
      <c r="F290" s="2"/>
      <c r="G290" s="113"/>
    </row>
    <row r="291" spans="2:7" x14ac:dyDescent="0.2">
      <c r="B291" s="89"/>
      <c r="C291" s="90"/>
      <c r="D291" s="88"/>
      <c r="E291" s="88"/>
      <c r="F291" s="2"/>
      <c r="G291" s="113"/>
    </row>
    <row r="292" spans="2:7" x14ac:dyDescent="0.2">
      <c r="B292" s="89"/>
      <c r="C292" s="90"/>
      <c r="D292" s="88"/>
      <c r="E292" s="88"/>
      <c r="F292" s="2"/>
      <c r="G292" s="113"/>
    </row>
    <row r="293" spans="2:7" x14ac:dyDescent="0.2">
      <c r="B293" s="89"/>
      <c r="C293" s="90"/>
      <c r="D293" s="88"/>
      <c r="E293" s="88"/>
      <c r="F293" s="2"/>
      <c r="G293" s="113"/>
    </row>
    <row r="294" spans="2:7" x14ac:dyDescent="0.2">
      <c r="B294" s="89"/>
      <c r="C294" s="90"/>
      <c r="D294" s="88"/>
      <c r="E294" s="88"/>
      <c r="F294" s="2"/>
      <c r="G294" s="113"/>
    </row>
    <row r="295" spans="2:7" x14ac:dyDescent="0.2">
      <c r="B295" s="89"/>
      <c r="C295" s="90"/>
      <c r="D295" s="88"/>
      <c r="E295" s="88"/>
      <c r="F295" s="2"/>
      <c r="G295" s="113"/>
    </row>
    <row r="296" spans="2:7" x14ac:dyDescent="0.2">
      <c r="B296" s="89"/>
      <c r="C296" s="90"/>
      <c r="D296" s="88"/>
      <c r="E296" s="88"/>
      <c r="F296" s="2"/>
      <c r="G296" s="113"/>
    </row>
    <row r="297" spans="2:7" x14ac:dyDescent="0.2">
      <c r="B297" s="89"/>
      <c r="C297" s="90"/>
      <c r="D297" s="88"/>
      <c r="E297" s="88"/>
      <c r="F297" s="2"/>
      <c r="G297" s="113"/>
    </row>
    <row r="298" spans="2:7" x14ac:dyDescent="0.2">
      <c r="B298" s="89"/>
      <c r="C298" s="90"/>
      <c r="D298" s="88"/>
      <c r="E298" s="88"/>
      <c r="F298" s="2"/>
      <c r="G298" s="113"/>
    </row>
    <row r="299" spans="2:7" x14ac:dyDescent="0.2">
      <c r="B299" s="89"/>
      <c r="C299" s="90"/>
      <c r="D299" s="88"/>
      <c r="E299" s="88"/>
      <c r="F299" s="2"/>
      <c r="G299" s="113"/>
    </row>
    <row r="300" spans="2:7" x14ac:dyDescent="0.2">
      <c r="B300" s="89"/>
      <c r="C300" s="90"/>
      <c r="D300" s="88"/>
      <c r="E300" s="88"/>
      <c r="F300" s="2"/>
      <c r="G300" s="113"/>
    </row>
    <row r="301" spans="2:7" x14ac:dyDescent="0.2">
      <c r="B301" s="89"/>
      <c r="C301" s="90"/>
      <c r="D301" s="88"/>
      <c r="E301" s="88"/>
      <c r="F301" s="2"/>
      <c r="G301" s="113"/>
    </row>
    <row r="302" spans="2:7" x14ac:dyDescent="0.2">
      <c r="B302" s="89"/>
      <c r="C302" s="90"/>
      <c r="D302" s="88"/>
      <c r="E302" s="88"/>
      <c r="F302" s="2"/>
      <c r="G302" s="113"/>
    </row>
    <row r="303" spans="2:7" x14ac:dyDescent="0.2">
      <c r="B303" s="89"/>
      <c r="C303" s="90"/>
      <c r="D303" s="88"/>
      <c r="E303" s="88"/>
      <c r="F303" s="2"/>
      <c r="G303" s="113"/>
    </row>
    <row r="304" spans="2:7" x14ac:dyDescent="0.2">
      <c r="B304" s="89"/>
      <c r="C304" s="90"/>
      <c r="D304" s="88"/>
      <c r="E304" s="88"/>
      <c r="F304" s="2"/>
      <c r="G304" s="113"/>
    </row>
    <row r="305" spans="2:7" x14ac:dyDescent="0.2">
      <c r="B305" s="89"/>
      <c r="C305" s="90"/>
      <c r="D305" s="88"/>
      <c r="E305" s="88"/>
      <c r="F305" s="2"/>
      <c r="G305" s="113"/>
    </row>
    <row r="306" spans="2:7" x14ac:dyDescent="0.2">
      <c r="B306" s="89"/>
      <c r="C306" s="90"/>
      <c r="D306" s="88"/>
      <c r="E306" s="88"/>
      <c r="F306" s="2"/>
      <c r="G306" s="113"/>
    </row>
    <row r="307" spans="2:7" x14ac:dyDescent="0.2">
      <c r="B307" s="89"/>
      <c r="C307" s="90"/>
      <c r="D307" s="88"/>
      <c r="E307" s="88"/>
      <c r="F307" s="2"/>
      <c r="G307" s="113"/>
    </row>
    <row r="308" spans="2:7" x14ac:dyDescent="0.2">
      <c r="B308" s="89"/>
      <c r="C308" s="90"/>
      <c r="D308" s="88"/>
      <c r="E308" s="88"/>
      <c r="F308" s="2"/>
      <c r="G308" s="113"/>
    </row>
    <row r="309" spans="2:7" x14ac:dyDescent="0.2">
      <c r="B309" s="89"/>
      <c r="C309" s="90"/>
      <c r="D309" s="88"/>
      <c r="E309" s="88"/>
      <c r="F309" s="2"/>
      <c r="G309" s="113"/>
    </row>
    <row r="310" spans="2:7" x14ac:dyDescent="0.2">
      <c r="B310" s="89"/>
      <c r="C310" s="90"/>
      <c r="D310" s="88"/>
      <c r="E310" s="88"/>
      <c r="F310" s="2"/>
      <c r="G310" s="113"/>
    </row>
    <row r="311" spans="2:7" x14ac:dyDescent="0.2">
      <c r="B311" s="89"/>
      <c r="C311" s="90"/>
      <c r="D311" s="88"/>
      <c r="E311" s="88"/>
      <c r="F311" s="2"/>
      <c r="G311" s="113"/>
    </row>
    <row r="312" spans="2:7" x14ac:dyDescent="0.2">
      <c r="B312" s="89"/>
      <c r="C312" s="90"/>
      <c r="D312" s="88"/>
      <c r="E312" s="88"/>
      <c r="F312" s="2"/>
      <c r="G312" s="113"/>
    </row>
    <row r="313" spans="2:7" x14ac:dyDescent="0.2">
      <c r="B313" s="89"/>
      <c r="C313" s="90"/>
      <c r="D313" s="88"/>
      <c r="E313" s="88"/>
      <c r="F313" s="2"/>
      <c r="G313" s="113"/>
    </row>
    <row r="314" spans="2:7" x14ac:dyDescent="0.2">
      <c r="B314" s="89"/>
      <c r="C314" s="90"/>
      <c r="D314" s="88"/>
      <c r="E314" s="88"/>
      <c r="F314" s="2"/>
      <c r="G314" s="113"/>
    </row>
    <row r="315" spans="2:7" x14ac:dyDescent="0.2">
      <c r="B315" s="89"/>
      <c r="C315" s="90"/>
      <c r="D315" s="88"/>
      <c r="E315" s="88"/>
      <c r="F315" s="2"/>
      <c r="G315" s="113"/>
    </row>
    <row r="316" spans="2:7" x14ac:dyDescent="0.2">
      <c r="B316" s="89"/>
      <c r="C316" s="90"/>
      <c r="D316" s="88"/>
      <c r="E316" s="88"/>
      <c r="F316" s="2"/>
      <c r="G316" s="113"/>
    </row>
    <row r="317" spans="2:7" x14ac:dyDescent="0.2">
      <c r="B317" s="89"/>
      <c r="C317" s="90"/>
      <c r="D317" s="88"/>
      <c r="E317" s="88"/>
      <c r="F317" s="2"/>
      <c r="G317" s="113"/>
    </row>
    <row r="318" spans="2:7" x14ac:dyDescent="0.2">
      <c r="B318" s="89"/>
      <c r="C318" s="90"/>
      <c r="D318" s="88"/>
      <c r="E318" s="88"/>
      <c r="F318" s="2"/>
      <c r="G318" s="113"/>
    </row>
    <row r="319" spans="2:7" x14ac:dyDescent="0.2">
      <c r="B319" s="89"/>
      <c r="C319" s="90"/>
      <c r="D319" s="88"/>
      <c r="E319" s="88"/>
      <c r="F319" s="2"/>
      <c r="G319" s="113"/>
    </row>
    <row r="320" spans="2:7" x14ac:dyDescent="0.2">
      <c r="B320" s="89"/>
      <c r="C320" s="90"/>
      <c r="D320" s="88"/>
      <c r="E320" s="88"/>
      <c r="F320" s="2"/>
      <c r="G320" s="113"/>
    </row>
    <row r="321" spans="2:7" x14ac:dyDescent="0.2">
      <c r="B321" s="89"/>
      <c r="C321" s="90"/>
      <c r="D321" s="88"/>
      <c r="E321" s="88"/>
      <c r="F321" s="2"/>
      <c r="G321" s="113"/>
    </row>
    <row r="322" spans="2:7" x14ac:dyDescent="0.2">
      <c r="B322" s="89"/>
      <c r="C322" s="90"/>
      <c r="D322" s="88"/>
      <c r="E322" s="88"/>
      <c r="F322" s="2"/>
      <c r="G322" s="113"/>
    </row>
    <row r="323" spans="2:7" x14ac:dyDescent="0.2">
      <c r="B323" s="89"/>
      <c r="C323" s="90"/>
      <c r="D323" s="88"/>
      <c r="E323" s="88"/>
      <c r="F323" s="2"/>
      <c r="G323" s="113"/>
    </row>
    <row r="324" spans="2:7" x14ac:dyDescent="0.2">
      <c r="B324" s="89"/>
      <c r="C324" s="90"/>
      <c r="D324" s="88"/>
      <c r="E324" s="88"/>
      <c r="F324" s="2"/>
      <c r="G324" s="113"/>
    </row>
    <row r="325" spans="2:7" x14ac:dyDescent="0.2">
      <c r="B325" s="89"/>
      <c r="C325" s="90"/>
      <c r="D325" s="88"/>
      <c r="E325" s="88"/>
      <c r="F325" s="2"/>
      <c r="G325" s="113"/>
    </row>
    <row r="326" spans="2:7" x14ac:dyDescent="0.2">
      <c r="B326" s="89"/>
      <c r="C326" s="90"/>
      <c r="D326" s="88"/>
      <c r="E326" s="88"/>
      <c r="F326" s="2"/>
      <c r="G326" s="113"/>
    </row>
    <row r="327" spans="2:7" x14ac:dyDescent="0.2">
      <c r="B327" s="89"/>
      <c r="C327" s="90"/>
      <c r="D327" s="88"/>
      <c r="E327" s="88"/>
      <c r="F327" s="2"/>
      <c r="G327" s="113"/>
    </row>
    <row r="328" spans="2:7" x14ac:dyDescent="0.2">
      <c r="B328" s="89"/>
      <c r="C328" s="90"/>
      <c r="D328" s="88"/>
      <c r="E328" s="88"/>
      <c r="F328" s="2"/>
      <c r="G328" s="113"/>
    </row>
    <row r="329" spans="2:7" x14ac:dyDescent="0.2">
      <c r="B329" s="89"/>
      <c r="C329" s="90"/>
      <c r="D329" s="88"/>
      <c r="E329" s="88"/>
      <c r="F329" s="2"/>
      <c r="G329" s="113"/>
    </row>
    <row r="330" spans="2:7" x14ac:dyDescent="0.2">
      <c r="B330" s="89"/>
      <c r="C330" s="90"/>
      <c r="D330" s="88"/>
      <c r="E330" s="88"/>
      <c r="F330" s="2"/>
      <c r="G330" s="113"/>
    </row>
    <row r="331" spans="2:7" x14ac:dyDescent="0.2">
      <c r="B331" s="89"/>
      <c r="C331" s="90"/>
      <c r="D331" s="88"/>
      <c r="E331" s="88"/>
      <c r="F331" s="2"/>
      <c r="G331" s="113"/>
    </row>
    <row r="332" spans="2:7" x14ac:dyDescent="0.2">
      <c r="B332" s="89"/>
      <c r="C332" s="90"/>
      <c r="D332" s="88"/>
      <c r="E332" s="88"/>
      <c r="F332" s="2"/>
      <c r="G332" s="113"/>
    </row>
    <row r="333" spans="2:7" x14ac:dyDescent="0.2">
      <c r="B333" s="89"/>
      <c r="C333" s="90"/>
      <c r="D333" s="88"/>
      <c r="E333" s="88"/>
      <c r="F333" s="2"/>
      <c r="G333" s="113"/>
    </row>
    <row r="334" spans="2:7" x14ac:dyDescent="0.2">
      <c r="B334" s="89"/>
      <c r="C334" s="90"/>
      <c r="D334" s="88"/>
      <c r="E334" s="88"/>
      <c r="F334" s="2"/>
      <c r="G334" s="113"/>
    </row>
    <row r="335" spans="2:7" x14ac:dyDescent="0.2">
      <c r="B335" s="89"/>
      <c r="C335" s="90"/>
      <c r="D335" s="88"/>
      <c r="E335" s="88"/>
      <c r="F335" s="2"/>
      <c r="G335" s="113"/>
    </row>
    <row r="336" spans="2:7" x14ac:dyDescent="0.2">
      <c r="B336" s="89"/>
      <c r="C336" s="90"/>
      <c r="D336" s="88"/>
      <c r="E336" s="88"/>
      <c r="F336" s="2"/>
      <c r="G336" s="113"/>
    </row>
    <row r="337" spans="2:7" x14ac:dyDescent="0.2">
      <c r="B337" s="89"/>
      <c r="C337" s="90"/>
      <c r="D337" s="88"/>
      <c r="E337" s="88"/>
      <c r="F337" s="2"/>
      <c r="G337" s="113"/>
    </row>
    <row r="338" spans="2:7" x14ac:dyDescent="0.2">
      <c r="B338" s="89"/>
      <c r="C338" s="90"/>
      <c r="D338" s="88"/>
      <c r="E338" s="88"/>
      <c r="F338" s="2"/>
      <c r="G338" s="113"/>
    </row>
    <row r="339" spans="2:7" x14ac:dyDescent="0.2">
      <c r="B339" s="89"/>
      <c r="C339" s="90"/>
      <c r="D339" s="88"/>
      <c r="E339" s="88"/>
      <c r="F339" s="2"/>
      <c r="G339" s="113"/>
    </row>
    <row r="340" spans="2:7" x14ac:dyDescent="0.2">
      <c r="B340" s="89"/>
      <c r="C340" s="90"/>
      <c r="D340" s="88"/>
      <c r="E340" s="88"/>
      <c r="F340" s="2"/>
      <c r="G340" s="113"/>
    </row>
    <row r="341" spans="2:7" x14ac:dyDescent="0.2">
      <c r="B341" s="89"/>
      <c r="C341" s="90"/>
      <c r="D341" s="88"/>
      <c r="E341" s="88"/>
      <c r="F341" s="2"/>
      <c r="G341" s="113"/>
    </row>
    <row r="342" spans="2:7" x14ac:dyDescent="0.2">
      <c r="B342" s="89"/>
      <c r="C342" s="90"/>
      <c r="D342" s="88"/>
      <c r="E342" s="88"/>
      <c r="F342" s="2"/>
      <c r="G342" s="113"/>
    </row>
    <row r="343" spans="2:7" x14ac:dyDescent="0.2">
      <c r="B343" s="89"/>
      <c r="C343" s="90"/>
      <c r="D343" s="88"/>
      <c r="E343" s="88"/>
      <c r="F343" s="2"/>
      <c r="G343" s="113"/>
    </row>
    <row r="344" spans="2:7" x14ac:dyDescent="0.2">
      <c r="B344" s="89"/>
      <c r="C344" s="90"/>
      <c r="D344" s="88"/>
      <c r="E344" s="88"/>
      <c r="F344" s="2"/>
      <c r="G344" s="113"/>
    </row>
    <row r="345" spans="2:7" x14ac:dyDescent="0.2">
      <c r="B345" s="89"/>
      <c r="C345" s="90"/>
      <c r="D345" s="88"/>
      <c r="E345" s="88"/>
      <c r="F345" s="2"/>
      <c r="G345" s="113"/>
    </row>
    <row r="346" spans="2:7" x14ac:dyDescent="0.2">
      <c r="B346" s="89"/>
      <c r="C346" s="90"/>
      <c r="D346" s="88"/>
      <c r="E346" s="88"/>
      <c r="F346" s="2"/>
      <c r="G346" s="113"/>
    </row>
    <row r="347" spans="2:7" x14ac:dyDescent="0.2">
      <c r="B347" s="89"/>
      <c r="C347" s="90"/>
      <c r="D347" s="88"/>
      <c r="E347" s="88"/>
      <c r="F347" s="2"/>
      <c r="G347" s="113"/>
    </row>
    <row r="348" spans="2:7" x14ac:dyDescent="0.2">
      <c r="B348" s="89"/>
      <c r="C348" s="90"/>
      <c r="D348" s="88"/>
      <c r="E348" s="88"/>
      <c r="F348" s="2"/>
      <c r="G348" s="113"/>
    </row>
    <row r="349" spans="2:7" x14ac:dyDescent="0.2">
      <c r="B349" s="89"/>
      <c r="C349" s="90"/>
      <c r="D349" s="88"/>
      <c r="E349" s="88"/>
      <c r="F349" s="2"/>
      <c r="G349" s="113"/>
    </row>
    <row r="350" spans="2:7" x14ac:dyDescent="0.2">
      <c r="B350" s="89"/>
      <c r="C350" s="90"/>
      <c r="D350" s="88"/>
      <c r="E350" s="88"/>
      <c r="F350" s="2"/>
      <c r="G350" s="113"/>
    </row>
    <row r="351" spans="2:7" x14ac:dyDescent="0.2">
      <c r="B351" s="89"/>
      <c r="C351" s="90"/>
      <c r="D351" s="88"/>
      <c r="E351" s="88"/>
      <c r="F351" s="2"/>
      <c r="G351" s="113"/>
    </row>
    <row r="352" spans="2:7" x14ac:dyDescent="0.2">
      <c r="B352" s="89"/>
      <c r="C352" s="90"/>
      <c r="D352" s="88"/>
      <c r="E352" s="88"/>
      <c r="F352" s="2"/>
      <c r="G352" s="113"/>
    </row>
    <row r="353" spans="2:7" x14ac:dyDescent="0.2">
      <c r="B353" s="89"/>
      <c r="C353" s="90"/>
      <c r="D353" s="88"/>
      <c r="E353" s="88"/>
      <c r="F353" s="2"/>
      <c r="G353" s="113"/>
    </row>
    <row r="354" spans="2:7" x14ac:dyDescent="0.2">
      <c r="B354" s="89"/>
      <c r="C354" s="90"/>
      <c r="D354" s="88"/>
      <c r="E354" s="88"/>
      <c r="F354" s="2"/>
      <c r="G354" s="113"/>
    </row>
    <row r="355" spans="2:7" x14ac:dyDescent="0.2">
      <c r="B355" s="89"/>
      <c r="C355" s="90"/>
      <c r="D355" s="88"/>
      <c r="E355" s="88"/>
      <c r="F355" s="2"/>
      <c r="G355" s="113"/>
    </row>
    <row r="356" spans="2:7" x14ac:dyDescent="0.2">
      <c r="B356" s="89"/>
      <c r="C356" s="90"/>
      <c r="D356" s="88"/>
      <c r="E356" s="88"/>
      <c r="F356" s="2"/>
      <c r="G356" s="113"/>
    </row>
    <row r="357" spans="2:7" x14ac:dyDescent="0.2">
      <c r="B357" s="89"/>
      <c r="C357" s="90"/>
      <c r="D357" s="88"/>
      <c r="E357" s="88"/>
      <c r="F357" s="2"/>
      <c r="G357" s="113"/>
    </row>
    <row r="358" spans="2:7" x14ac:dyDescent="0.2">
      <c r="B358" s="89"/>
      <c r="C358" s="90"/>
      <c r="D358" s="88"/>
      <c r="E358" s="88"/>
      <c r="F358" s="2"/>
      <c r="G358" s="113"/>
    </row>
    <row r="359" spans="2:7" x14ac:dyDescent="0.2">
      <c r="B359" s="89"/>
      <c r="C359" s="90"/>
      <c r="D359" s="88"/>
      <c r="E359" s="88"/>
      <c r="F359" s="2"/>
      <c r="G359" s="113"/>
    </row>
    <row r="360" spans="2:7" x14ac:dyDescent="0.2">
      <c r="B360" s="89"/>
      <c r="C360" s="90"/>
      <c r="D360" s="88"/>
      <c r="E360" s="88"/>
      <c r="F360" s="2"/>
      <c r="G360" s="113"/>
    </row>
    <row r="361" spans="2:7" x14ac:dyDescent="0.2">
      <c r="B361" s="89"/>
      <c r="C361" s="90"/>
      <c r="D361" s="88"/>
      <c r="E361" s="88"/>
      <c r="F361" s="2"/>
      <c r="G361" s="113"/>
    </row>
    <row r="362" spans="2:7" x14ac:dyDescent="0.2">
      <c r="B362" s="89"/>
      <c r="C362" s="90"/>
      <c r="D362" s="88"/>
      <c r="E362" s="88"/>
      <c r="F362" s="2"/>
      <c r="G362" s="113"/>
    </row>
    <row r="363" spans="2:7" x14ac:dyDescent="0.2">
      <c r="B363" s="89"/>
      <c r="C363" s="90"/>
      <c r="D363" s="88"/>
      <c r="E363" s="88"/>
      <c r="F363" s="2"/>
      <c r="G363" s="113"/>
    </row>
    <row r="364" spans="2:7" x14ac:dyDescent="0.2">
      <c r="B364" s="89"/>
      <c r="C364" s="90"/>
      <c r="D364" s="88"/>
      <c r="E364" s="88"/>
      <c r="F364" s="2"/>
      <c r="G364" s="113"/>
    </row>
    <row r="365" spans="2:7" x14ac:dyDescent="0.2">
      <c r="B365" s="89"/>
      <c r="C365" s="90"/>
      <c r="D365" s="88"/>
      <c r="E365" s="88"/>
      <c r="F365" s="2"/>
      <c r="G365" s="113"/>
    </row>
    <row r="366" spans="2:7" x14ac:dyDescent="0.2">
      <c r="B366" s="89"/>
      <c r="C366" s="90"/>
      <c r="D366" s="88"/>
      <c r="E366" s="88"/>
      <c r="F366" s="2"/>
      <c r="G366" s="113"/>
    </row>
    <row r="367" spans="2:7" x14ac:dyDescent="0.2">
      <c r="G367" s="113"/>
    </row>
    <row r="368" spans="2:7" x14ac:dyDescent="0.2">
      <c r="G368" s="112"/>
    </row>
    <row r="369" spans="7:7" x14ac:dyDescent="0.2">
      <c r="G369" s="113"/>
    </row>
    <row r="370" spans="7:7" x14ac:dyDescent="0.2">
      <c r="G370" s="113"/>
    </row>
  </sheetData>
  <phoneticPr fontId="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Přečti si</vt:lpstr>
      <vt:lpstr>Rs kalkulace Altesil MW</vt:lpstr>
      <vt:lpstr>Data Rs</vt:lpstr>
      <vt:lpstr>Data Cw</vt:lpstr>
      <vt:lpstr>SR_Kpw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Nastroj na interpretaci dat z pasivniho vzorkovani</dc:title>
  <dc:creator>Branislav Vrana</dc:creator>
  <dc:description>Nastroj na interpretaci dat z pasivniho vzorkovani bromovanych zhasecu horeni a jinych hydrofobnich latek ve vode</dc:description>
  <cp:lastModifiedBy>user</cp:lastModifiedBy>
  <cp:lastPrinted>2011-05-04T09:35:29Z</cp:lastPrinted>
  <dcterms:created xsi:type="dcterms:W3CDTF">2009-04-23T13:11:24Z</dcterms:created>
  <dcterms:modified xsi:type="dcterms:W3CDTF">2017-01-28T20:49:54Z</dcterms:modified>
</cp:coreProperties>
</file>